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Hessam Azarijafari\Dropbox (MIT)\CSHub Pavements Implementation\Carbon Uptake\"/>
    </mc:Choice>
  </mc:AlternateContent>
  <xr:revisionPtr revIDLastSave="0" documentId="13_ncr:1_{8F527F27-AC8F-431F-8B7C-9AE9E92FEFEE}" xr6:coauthVersionLast="47" xr6:coauthVersionMax="47" xr10:uidLastSave="{00000000-0000-0000-0000-000000000000}"/>
  <bookViews>
    <workbookView xWindow="-98" yWindow="-98" windowWidth="22695" windowHeight="14595" firstSheet="1" activeTab="1" xr2:uid="{00000000-000D-0000-FFFF-FFFF00000000}"/>
  </bookViews>
  <sheets>
    <sheet name="CB_DATA_" sheetId="3" state="veryHidden" r:id="rId1"/>
    <sheet name="Inputs and result" sheetId="1" r:id="rId2"/>
    <sheet name="Calcul" sheetId="2" r:id="rId3"/>
  </sheets>
  <definedNames>
    <definedName name="CB_0830034ae49e4d019100b68e263a4b74" localSheetId="0" hidden="1">#N/A</definedName>
    <definedName name="CB_Block_00000000000000000000000000000000" localSheetId="0" hidden="1">"'7.0.0.0"</definedName>
    <definedName name="CB_Block_00000000000000000000000000000000" localSheetId="1" hidden="1">"'7.0.0.0"</definedName>
    <definedName name="CB_Block_00000000000000000000000000000001" localSheetId="0" hidden="1">"'637284326099669548"</definedName>
    <definedName name="CB_Block_00000000000000000000000000000001" localSheetId="1" hidden="1">"'637284322868815903"</definedName>
    <definedName name="CB_Block_00000000000000000000000000000003" localSheetId="0" hidden="1">"'11.1.4716.0"</definedName>
    <definedName name="CB_Block_00000000000000000000000000000003" localSheetId="1" hidden="1">"'11.1.4716.0"</definedName>
    <definedName name="CB_BlockExt_00000000000000000000000000000003" localSheetId="0" hidden="1">"'11.1.2.4.850"</definedName>
    <definedName name="CB_BlockExt_00000000000000000000000000000003" localSheetId="1" hidden="1">"'11.1.2.4.850"</definedName>
    <definedName name="CB_f4c0a82b78054d45958d505ae0402de3" localSheetId="0" hidden="1">#N/A</definedName>
    <definedName name="CBWorkbookPriority" localSheetId="0" hidden="1">-1788376536692520</definedName>
    <definedName name="CBx_62568af26e3841cc9a398ac1efa25c5b" localSheetId="0" hidden="1">"'Inputs and result'!$A$1"</definedName>
    <definedName name="CBx_aabc93bb1bfc459c98f0f7accdb34f94" localSheetId="0" hidden="1">"'CB_DATA_'!$A$1"</definedName>
    <definedName name="CBx_Sheet_Guid" localSheetId="0" hidden="1">"'aabc93bb-1bfc-459c-98f0-f7accdb34f94"</definedName>
    <definedName name="CBx_Sheet_Guid" localSheetId="1" hidden="1">"'62568af2-6e38-41cc-9a39-8ac1efa25c5b"</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 i="2" l="1"/>
  <c r="Z3" i="2" s="1"/>
  <c r="U11" i="2" l="1"/>
  <c r="E10" i="1"/>
  <c r="U7" i="2" l="1"/>
  <c r="B22" i="2"/>
  <c r="B8" i="2"/>
  <c r="B11" i="3" l="1"/>
  <c r="A11" i="3"/>
  <c r="U5" i="2" l="1"/>
  <c r="U6" i="2" s="1"/>
  <c r="Z4" i="2" l="1"/>
  <c r="Z5"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U3" i="2" l="1"/>
  <c r="U13" i="2"/>
  <c r="Q3" i="2"/>
  <c r="B12" i="2"/>
  <c r="B15" i="2" s="1"/>
  <c r="B11" i="2"/>
  <c r="B14" i="2" s="1"/>
  <c r="B10" i="2"/>
  <c r="B13" i="2" s="1"/>
  <c r="E3" i="1" l="1"/>
  <c r="U4" i="2"/>
  <c r="E4" i="1" s="1"/>
  <c r="G19" i="2"/>
  <c r="G18" i="2"/>
  <c r="G17" i="2"/>
  <c r="H17" i="2" l="1" a="1"/>
  <c r="H17" i="2" s="1"/>
  <c r="B16" i="2" s="1"/>
  <c r="H18" i="2" a="1"/>
  <c r="H18" i="2" s="1"/>
  <c r="B17" i="2" s="1"/>
  <c r="B2" i="2"/>
  <c r="B9" i="2" s="1"/>
  <c r="B18" i="2" l="1"/>
  <c r="B23" i="2"/>
  <c r="U14" i="2"/>
  <c r="U15" i="2" s="1"/>
  <c r="U17" i="2" s="1"/>
  <c r="B7" i="2"/>
  <c r="U12" i="2" l="1"/>
  <c r="U16" i="2"/>
  <c r="P4" i="2"/>
  <c r="P5" i="2" s="1"/>
  <c r="B19" i="2"/>
  <c r="B21" i="2" s="1"/>
  <c r="B20" i="2" l="1"/>
  <c r="G79" i="2" s="1"/>
  <c r="Q4" i="2"/>
  <c r="P6" i="2"/>
  <c r="Q6" i="2" s="1"/>
  <c r="Q5" i="2"/>
  <c r="B17" i="1"/>
  <c r="G32" i="2" l="1"/>
  <c r="G49" i="2"/>
  <c r="G55" i="2"/>
  <c r="G118" i="2"/>
  <c r="G64" i="2"/>
  <c r="G107" i="2"/>
  <c r="G57" i="2"/>
  <c r="G47" i="2"/>
  <c r="G62" i="2"/>
  <c r="G120" i="2"/>
  <c r="G30" i="2"/>
  <c r="G40" i="2"/>
  <c r="G75" i="2"/>
  <c r="G86" i="2"/>
  <c r="G70" i="2"/>
  <c r="G105" i="2"/>
  <c r="G72" i="2"/>
  <c r="G38" i="2"/>
  <c r="G88" i="2"/>
  <c r="G26" i="2"/>
  <c r="G82" i="2"/>
  <c r="G103" i="2"/>
  <c r="G56" i="2"/>
  <c r="G71" i="2"/>
  <c r="G39" i="2"/>
  <c r="G54" i="2"/>
  <c r="G73" i="2"/>
  <c r="G41" i="2"/>
  <c r="G110" i="2"/>
  <c r="G78" i="2"/>
  <c r="G97" i="2"/>
  <c r="G112" i="2"/>
  <c r="G80" i="2"/>
  <c r="G99" i="2"/>
  <c r="G58" i="2"/>
  <c r="G84" i="2"/>
  <c r="G50" i="2"/>
  <c r="G37" i="2"/>
  <c r="G74" i="2"/>
  <c r="G108" i="2"/>
  <c r="G76" i="2"/>
  <c r="G95" i="2"/>
  <c r="G60" i="2"/>
  <c r="G43" i="2"/>
  <c r="G114" i="2"/>
  <c r="G116" i="2"/>
  <c r="G67" i="2"/>
  <c r="G106" i="2"/>
  <c r="G48" i="2"/>
  <c r="G63" i="2"/>
  <c r="G31" i="2"/>
  <c r="G46" i="2"/>
  <c r="G65" i="2"/>
  <c r="G33" i="2"/>
  <c r="G102" i="2"/>
  <c r="G121" i="2"/>
  <c r="G89" i="2"/>
  <c r="G104" i="2"/>
  <c r="G123" i="2"/>
  <c r="G91" i="2"/>
  <c r="G28" i="2"/>
  <c r="G45" i="2"/>
  <c r="G101" i="2"/>
  <c r="G52" i="2"/>
  <c r="G35" i="2"/>
  <c r="G69" i="2"/>
  <c r="G93" i="2"/>
  <c r="G24" i="2"/>
  <c r="G44" i="2"/>
  <c r="G59" i="2"/>
  <c r="G27" i="2"/>
  <c r="G42" i="2"/>
  <c r="G61" i="2"/>
  <c r="G29" i="2"/>
  <c r="G98" i="2"/>
  <c r="G117" i="2"/>
  <c r="G85" i="2"/>
  <c r="G100" i="2"/>
  <c r="G119" i="2"/>
  <c r="G87" i="2"/>
  <c r="G25" i="2"/>
  <c r="G94" i="2"/>
  <c r="G113" i="2"/>
  <c r="G81" i="2"/>
  <c r="G96" i="2"/>
  <c r="G115" i="2"/>
  <c r="G83" i="2"/>
  <c r="G68" i="2"/>
  <c r="G36" i="2"/>
  <c r="G51" i="2"/>
  <c r="G66" i="2"/>
  <c r="G34" i="2"/>
  <c r="G53" i="2"/>
  <c r="G122" i="2"/>
  <c r="G90" i="2"/>
  <c r="G109" i="2"/>
  <c r="G77" i="2"/>
  <c r="G92" i="2"/>
  <c r="G111" i="2"/>
  <c r="U9" i="2"/>
  <c r="U18" i="2" l="1"/>
  <c r="U8" i="2" l="1"/>
  <c r="U19" i="2" s="1"/>
  <c r="U10" i="2" l="1"/>
  <c r="I87" i="2"/>
  <c r="H87" i="2" s="1"/>
  <c r="I103" i="2"/>
  <c r="H103" i="2" s="1"/>
  <c r="I119" i="2"/>
  <c r="H119" i="2" s="1"/>
  <c r="I135" i="2"/>
  <c r="H135" i="2" s="1"/>
  <c r="I151" i="2"/>
  <c r="H151" i="2" s="1"/>
  <c r="I167" i="2"/>
  <c r="H167" i="2" s="1"/>
  <c r="I183" i="2"/>
  <c r="H183" i="2" s="1"/>
  <c r="I199" i="2"/>
  <c r="H199" i="2" s="1"/>
  <c r="I76" i="2"/>
  <c r="H76" i="2" s="1"/>
  <c r="I92" i="2"/>
  <c r="H92" i="2" s="1"/>
  <c r="I108" i="2"/>
  <c r="H108" i="2" s="1"/>
  <c r="I124" i="2"/>
  <c r="H124" i="2" s="1"/>
  <c r="I140" i="2"/>
  <c r="H140" i="2" s="1"/>
  <c r="I156" i="2"/>
  <c r="H156" i="2" s="1"/>
  <c r="I172" i="2"/>
  <c r="H172" i="2" s="1"/>
  <c r="I188" i="2"/>
  <c r="H188" i="2" s="1"/>
  <c r="I204" i="2"/>
  <c r="H204" i="2" s="1"/>
  <c r="I89" i="2"/>
  <c r="H89" i="2" s="1"/>
  <c r="I121" i="2"/>
  <c r="H121" i="2" s="1"/>
  <c r="I153" i="2"/>
  <c r="H153" i="2" s="1"/>
  <c r="I185" i="2"/>
  <c r="H185" i="2" s="1"/>
  <c r="I215" i="2"/>
  <c r="H215" i="2" s="1"/>
  <c r="I31" i="2"/>
  <c r="H31" i="2" s="1"/>
  <c r="I47" i="2"/>
  <c r="H47" i="2" s="1"/>
  <c r="I63" i="2"/>
  <c r="H63" i="2" s="1"/>
  <c r="I138" i="2"/>
  <c r="H138" i="2" s="1"/>
  <c r="I170" i="2"/>
  <c r="H170" i="2" s="1"/>
  <c r="I216" i="2"/>
  <c r="H216" i="2" s="1"/>
  <c r="I48" i="2"/>
  <c r="H48" i="2" s="1"/>
  <c r="I68" i="2"/>
  <c r="H68" i="2" s="1"/>
  <c r="I38" i="2"/>
  <c r="H38" i="2" s="1"/>
  <c r="I70" i="2"/>
  <c r="H70" i="2" s="1"/>
  <c r="I106" i="2"/>
  <c r="H106" i="2" s="1"/>
  <c r="I210" i="2"/>
  <c r="H210" i="2" s="1"/>
  <c r="I44" i="2"/>
  <c r="H44" i="2" s="1"/>
  <c r="I93" i="2"/>
  <c r="H93" i="2" s="1"/>
  <c r="I125" i="2"/>
  <c r="H125" i="2" s="1"/>
  <c r="I157" i="2"/>
  <c r="H157" i="2" s="1"/>
  <c r="I189" i="2"/>
  <c r="H189" i="2" s="1"/>
  <c r="I217" i="2"/>
  <c r="H217" i="2" s="1"/>
  <c r="I33" i="2"/>
  <c r="H33" i="2" s="1"/>
  <c r="I49" i="2"/>
  <c r="H49" i="2" s="1"/>
  <c r="I65" i="2"/>
  <c r="H65" i="2" s="1"/>
  <c r="I86" i="2"/>
  <c r="H86" i="2" s="1"/>
  <c r="I118" i="2"/>
  <c r="H118" i="2" s="1"/>
  <c r="I150" i="2"/>
  <c r="H150" i="2" s="1"/>
  <c r="I182" i="2"/>
  <c r="H182" i="2" s="1"/>
  <c r="I214" i="2"/>
  <c r="H214" i="2" s="1"/>
  <c r="I42" i="2"/>
  <c r="H42" i="2" s="1"/>
  <c r="I75" i="2"/>
  <c r="H75" i="2" s="1"/>
  <c r="I99" i="2"/>
  <c r="H99" i="2" s="1"/>
  <c r="I104" i="2"/>
  <c r="H104" i="2" s="1"/>
  <c r="I168" i="2"/>
  <c r="H168" i="2" s="1"/>
  <c r="I81" i="2"/>
  <c r="H81" i="2" s="1"/>
  <c r="I113" i="2"/>
  <c r="H113" i="2" s="1"/>
  <c r="I209" i="2"/>
  <c r="H209" i="2" s="1"/>
  <c r="I59" i="2"/>
  <c r="H59" i="2" s="1"/>
  <c r="I202" i="2"/>
  <c r="H202" i="2" s="1"/>
  <c r="I30" i="2"/>
  <c r="H30" i="2" s="1"/>
  <c r="I149" i="2"/>
  <c r="H149" i="2" s="1"/>
  <c r="I29" i="2"/>
  <c r="H29" i="2" s="1"/>
  <c r="I78" i="2"/>
  <c r="H78" i="2" s="1"/>
  <c r="I142" i="2"/>
  <c r="H142" i="2" s="1"/>
  <c r="I34" i="2"/>
  <c r="H34" i="2" s="1"/>
  <c r="I91" i="2"/>
  <c r="H91" i="2" s="1"/>
  <c r="I107" i="2"/>
  <c r="H107" i="2" s="1"/>
  <c r="I123" i="2"/>
  <c r="H123" i="2" s="1"/>
  <c r="I139" i="2"/>
  <c r="H139" i="2" s="1"/>
  <c r="I155" i="2"/>
  <c r="H155" i="2" s="1"/>
  <c r="I171" i="2"/>
  <c r="H171" i="2" s="1"/>
  <c r="I187" i="2"/>
  <c r="H187" i="2" s="1"/>
  <c r="I203" i="2"/>
  <c r="H203" i="2" s="1"/>
  <c r="I80" i="2"/>
  <c r="H80" i="2" s="1"/>
  <c r="I96" i="2"/>
  <c r="H96" i="2" s="1"/>
  <c r="I112" i="2"/>
  <c r="H112" i="2" s="1"/>
  <c r="I128" i="2"/>
  <c r="H128" i="2" s="1"/>
  <c r="I144" i="2"/>
  <c r="H144" i="2" s="1"/>
  <c r="I160" i="2"/>
  <c r="H160" i="2" s="1"/>
  <c r="I176" i="2"/>
  <c r="H176" i="2" s="1"/>
  <c r="I192" i="2"/>
  <c r="H192" i="2" s="1"/>
  <c r="I208" i="2"/>
  <c r="H208" i="2" s="1"/>
  <c r="I97" i="2"/>
  <c r="H97" i="2" s="1"/>
  <c r="I129" i="2"/>
  <c r="H129" i="2" s="1"/>
  <c r="I161" i="2"/>
  <c r="H161" i="2" s="1"/>
  <c r="I193" i="2"/>
  <c r="H193" i="2" s="1"/>
  <c r="I219" i="2"/>
  <c r="H219" i="2" s="1"/>
  <c r="I35" i="2"/>
  <c r="H35" i="2" s="1"/>
  <c r="I51" i="2"/>
  <c r="H51" i="2" s="1"/>
  <c r="I67" i="2"/>
  <c r="H67" i="2" s="1"/>
  <c r="I146" i="2"/>
  <c r="H146" i="2" s="1"/>
  <c r="I178" i="2"/>
  <c r="H178" i="2" s="1"/>
  <c r="I24" i="2"/>
  <c r="H24" i="2" s="1"/>
  <c r="I56" i="2"/>
  <c r="H56" i="2" s="1"/>
  <c r="I72" i="2"/>
  <c r="H72" i="2" s="1"/>
  <c r="I46" i="2"/>
  <c r="H46" i="2" s="1"/>
  <c r="I82" i="2"/>
  <c r="H82" i="2" s="1"/>
  <c r="I114" i="2"/>
  <c r="H114" i="2" s="1"/>
  <c r="I220" i="2"/>
  <c r="H220" i="2" s="1"/>
  <c r="I52" i="2"/>
  <c r="H52" i="2" s="1"/>
  <c r="I101" i="2"/>
  <c r="H101" i="2" s="1"/>
  <c r="I133" i="2"/>
  <c r="H133" i="2" s="1"/>
  <c r="I165" i="2"/>
  <c r="H165" i="2" s="1"/>
  <c r="I197" i="2"/>
  <c r="H197" i="2" s="1"/>
  <c r="I221" i="2"/>
  <c r="H221" i="2" s="1"/>
  <c r="I37" i="2"/>
  <c r="H37" i="2" s="1"/>
  <c r="I53" i="2"/>
  <c r="H53" i="2" s="1"/>
  <c r="I69" i="2"/>
  <c r="H69" i="2" s="1"/>
  <c r="I94" i="2"/>
  <c r="H94" i="2" s="1"/>
  <c r="I126" i="2"/>
  <c r="H126" i="2" s="1"/>
  <c r="I158" i="2"/>
  <c r="H158" i="2" s="1"/>
  <c r="I190" i="2"/>
  <c r="H190" i="2" s="1"/>
  <c r="I218" i="2"/>
  <c r="H218" i="2" s="1"/>
  <c r="I50" i="2"/>
  <c r="H50" i="2" s="1"/>
  <c r="I74" i="2"/>
  <c r="H74" i="2" s="1"/>
  <c r="I115" i="2"/>
  <c r="H115" i="2" s="1"/>
  <c r="I147" i="2"/>
  <c r="H147" i="2" s="1"/>
  <c r="I163" i="2"/>
  <c r="H163" i="2" s="1"/>
  <c r="I195" i="2"/>
  <c r="H195" i="2" s="1"/>
  <c r="I88" i="2"/>
  <c r="H88" i="2" s="1"/>
  <c r="I136" i="2"/>
  <c r="H136" i="2" s="1"/>
  <c r="I184" i="2"/>
  <c r="H184" i="2" s="1"/>
  <c r="I177" i="2"/>
  <c r="H177" i="2" s="1"/>
  <c r="I43" i="2"/>
  <c r="H43" i="2" s="1"/>
  <c r="I162" i="2"/>
  <c r="H162" i="2" s="1"/>
  <c r="I64" i="2"/>
  <c r="H64" i="2" s="1"/>
  <c r="I186" i="2"/>
  <c r="H186" i="2" s="1"/>
  <c r="I85" i="2"/>
  <c r="H85" i="2" s="1"/>
  <c r="I117" i="2"/>
  <c r="H117" i="2" s="1"/>
  <c r="I181" i="2"/>
  <c r="H181" i="2" s="1"/>
  <c r="I45" i="2"/>
  <c r="H45" i="2" s="1"/>
  <c r="I110" i="2"/>
  <c r="H110" i="2" s="1"/>
  <c r="I206" i="2"/>
  <c r="H206" i="2" s="1"/>
  <c r="I79" i="2"/>
  <c r="H79" i="2" s="1"/>
  <c r="I95" i="2"/>
  <c r="H95" i="2" s="1"/>
  <c r="I111" i="2"/>
  <c r="H111" i="2" s="1"/>
  <c r="I127" i="2"/>
  <c r="H127" i="2" s="1"/>
  <c r="I143" i="2"/>
  <c r="H143" i="2" s="1"/>
  <c r="I159" i="2"/>
  <c r="H159" i="2" s="1"/>
  <c r="I175" i="2"/>
  <c r="H175" i="2" s="1"/>
  <c r="I191" i="2"/>
  <c r="H191" i="2" s="1"/>
  <c r="I207" i="2"/>
  <c r="H207" i="2" s="1"/>
  <c r="I84" i="2"/>
  <c r="H84" i="2" s="1"/>
  <c r="I100" i="2"/>
  <c r="H100" i="2" s="1"/>
  <c r="I116" i="2"/>
  <c r="H116" i="2" s="1"/>
  <c r="I132" i="2"/>
  <c r="H132" i="2" s="1"/>
  <c r="I148" i="2"/>
  <c r="H148" i="2" s="1"/>
  <c r="I164" i="2"/>
  <c r="H164" i="2" s="1"/>
  <c r="I180" i="2"/>
  <c r="H180" i="2" s="1"/>
  <c r="I196" i="2"/>
  <c r="H196" i="2" s="1"/>
  <c r="I212" i="2"/>
  <c r="H212" i="2" s="1"/>
  <c r="I105" i="2"/>
  <c r="H105" i="2" s="1"/>
  <c r="I137" i="2"/>
  <c r="H137" i="2" s="1"/>
  <c r="I169" i="2"/>
  <c r="H169" i="2" s="1"/>
  <c r="I201" i="2"/>
  <c r="H201" i="2" s="1"/>
  <c r="I223" i="2"/>
  <c r="H223" i="2" s="1"/>
  <c r="I39" i="2"/>
  <c r="H39" i="2" s="1"/>
  <c r="I55" i="2"/>
  <c r="H55" i="2" s="1"/>
  <c r="I71" i="2"/>
  <c r="H71" i="2" s="1"/>
  <c r="I154" i="2"/>
  <c r="H154" i="2" s="1"/>
  <c r="I194" i="2"/>
  <c r="H194" i="2" s="1"/>
  <c r="I32" i="2"/>
  <c r="H32" i="2" s="1"/>
  <c r="I60" i="2"/>
  <c r="H60" i="2" s="1"/>
  <c r="I222" i="2"/>
  <c r="H222" i="2" s="1"/>
  <c r="I54" i="2"/>
  <c r="H54" i="2" s="1"/>
  <c r="I90" i="2"/>
  <c r="H90" i="2" s="1"/>
  <c r="I122" i="2"/>
  <c r="H122" i="2" s="1"/>
  <c r="I28" i="2"/>
  <c r="H28" i="2" s="1"/>
  <c r="I77" i="2"/>
  <c r="H77" i="2" s="1"/>
  <c r="I109" i="2"/>
  <c r="H109" i="2" s="1"/>
  <c r="I141" i="2"/>
  <c r="H141" i="2" s="1"/>
  <c r="I173" i="2"/>
  <c r="H173" i="2" s="1"/>
  <c r="I205" i="2"/>
  <c r="H205" i="2" s="1"/>
  <c r="I25" i="2"/>
  <c r="H25" i="2" s="1"/>
  <c r="I41" i="2"/>
  <c r="H41" i="2" s="1"/>
  <c r="I57" i="2"/>
  <c r="H57" i="2" s="1"/>
  <c r="I73" i="2"/>
  <c r="H73" i="2" s="1"/>
  <c r="I102" i="2"/>
  <c r="H102" i="2" s="1"/>
  <c r="I134" i="2"/>
  <c r="H134" i="2" s="1"/>
  <c r="I166" i="2"/>
  <c r="H166" i="2" s="1"/>
  <c r="I198" i="2"/>
  <c r="H198" i="2" s="1"/>
  <c r="I26" i="2"/>
  <c r="H26" i="2" s="1"/>
  <c r="I58" i="2"/>
  <c r="H58" i="2" s="1"/>
  <c r="I83" i="2"/>
  <c r="H83" i="2" s="1"/>
  <c r="I131" i="2"/>
  <c r="H131" i="2" s="1"/>
  <c r="I179" i="2"/>
  <c r="H179" i="2" s="1"/>
  <c r="I211" i="2"/>
  <c r="H211" i="2" s="1"/>
  <c r="I120" i="2"/>
  <c r="H120" i="2" s="1"/>
  <c r="I152" i="2"/>
  <c r="H152" i="2" s="1"/>
  <c r="I200" i="2"/>
  <c r="H200" i="2" s="1"/>
  <c r="I145" i="2"/>
  <c r="H145" i="2" s="1"/>
  <c r="I27" i="2"/>
  <c r="H27" i="2" s="1"/>
  <c r="I130" i="2"/>
  <c r="H130" i="2" s="1"/>
  <c r="I40" i="2"/>
  <c r="H40" i="2" s="1"/>
  <c r="I62" i="2"/>
  <c r="H62" i="2" s="1"/>
  <c r="I98" i="2"/>
  <c r="H98" i="2" s="1"/>
  <c r="I36" i="2"/>
  <c r="H36" i="2" s="1"/>
  <c r="I213" i="2"/>
  <c r="H213" i="2" s="1"/>
  <c r="I61" i="2"/>
  <c r="H61" i="2" s="1"/>
  <c r="I174" i="2"/>
  <c r="H174" i="2" s="1"/>
  <c r="I66" i="2"/>
  <c r="H66" i="2" s="1"/>
  <c r="E11" i="1"/>
  <c r="B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tc={C0E6C3DD-F69E-42BD-A0E6-E456D4C35853}</author>
    <author>tc={2BDC976A-465F-418D-8A6F-63EDC9603E0E}</author>
    <author>tc={EEEACBFE-9E7E-4013-9BD4-0976E2849BC5}</author>
    <author>tc={09251846-B104-4830-A3F4-C441830234B7}</author>
    <author>tc={50B0ECFE-B7EC-466A-BC62-888D86C4539C}</author>
    <author>tc={FA8D026C-136E-45B3-B3A2-E325B6CD4BF3}</author>
  </authors>
  <commentList>
    <comment ref="Z2" authorId="0" shapeId="0" xr:uid="{C0E6C3DD-F69E-42BD-A0E6-E456D4C35853}">
      <text>
        <t>[Threaded comment]
Your version of Excel allows you to read this threaded comment; however, any edits to it will get removed if the file is opened in a newer version of Excel. Learn more: https://go.microsoft.com/fwlink/?linkid=870924
Comment:
    Side slopes of the stockpile should not exceed
2:1. 
Alabama Soil and Water Conservation Committee:
https://alconservationdistricts.gov/wp-content/uploads/2017/07/04_Site_Preparation.pdf?__cf_chl_jschl_tk__=1g4LXnehx33yGDt4KdEisMGnLZzsR4UKjw77lRaY.4s-1635951719-0-gaNycGzNCNE</t>
      </text>
    </comment>
    <comment ref="O3" authorId="1" shapeId="0" xr:uid="{2BDC976A-465F-418D-8A6F-63EDC9603E0E}">
      <text>
        <t>[Threaded comment]
Your version of Excel allows you to read this threaded comment; however, any edits to it will get removed if the file is opened in a newer version of Excel. Learn more: https://go.microsoft.com/fwlink/?linkid=870924
Comment:
    IVL Report 2018</t>
      </text>
    </comment>
    <comment ref="O4" authorId="2" shapeId="0" xr:uid="{EEEACBFE-9E7E-4013-9BD4-0976E2849BC5}">
      <text>
        <t>[Threaded comment]
Your version of Excel allows you to read this threaded comment; however, any edits to it will get removed if the file is opened in a newer version of Excel. Learn more: https://go.microsoft.com/fwlink/?linkid=870924
Comment:
    IVL report 2018</t>
      </text>
    </comment>
    <comment ref="A5" authorId="3" shapeId="0" xr:uid="{09251846-B104-4830-A3F4-C441830234B7}">
      <text>
        <t>[Threaded comment]
Your version of Excel allows you to read this threaded comment; however, any edits to it will get removed if the file is opened in a newer version of Excel. Learn more: https://go.microsoft.com/fwlink/?linkid=870924
Comment:
    Concrete Technology Neville &amp; Brooks</t>
      </text>
    </comment>
    <comment ref="A6" authorId="4" shapeId="0" xr:uid="{50B0ECFE-B7EC-466A-BC62-888D86C4539C}">
      <text>
        <t>[Threaded comment]
Your version of Excel allows you to read this threaded comment; however, any edits to it will get removed if the file is opened in a newer version of Excel. Learn more: https://go.microsoft.com/fwlink/?linkid=870924
Comment:
    Concrete Technology Neville &amp; Brooks</t>
      </text>
    </comment>
    <comment ref="A7" authorId="5" shapeId="0" xr:uid="{FA8D026C-136E-45B3-B3A2-E325B6CD4BF3}">
      <text>
        <t>[Threaded comment]
Your version of Excel allows you to read this threaded comment; however, any edits to it will get removed if the file is opened in a newer version of Excel. Learn more: https://go.microsoft.com/fwlink/?linkid=870924
Comment:
    EN 16757, 2017
Appendix BB</t>
      </text>
    </comment>
  </commentList>
</comments>
</file>

<file path=xl/sharedStrings.xml><?xml version="1.0" encoding="utf-8"?>
<sst xmlns="http://schemas.openxmlformats.org/spreadsheetml/2006/main" count="159" uniqueCount="152">
  <si>
    <t>Portland cement content (kg/m3)</t>
  </si>
  <si>
    <t>Slag content (kg/m3)</t>
  </si>
  <si>
    <t>Fly ash content (kg/m3)</t>
  </si>
  <si>
    <t>Exposure condition (1)</t>
  </si>
  <si>
    <t>Exposure condition (2)</t>
  </si>
  <si>
    <t>Surface area (1) (m2)</t>
  </si>
  <si>
    <t>Surface area (2) (m2)</t>
  </si>
  <si>
    <t>DOC</t>
  </si>
  <si>
    <t>Compressive strength (MPa)</t>
  </si>
  <si>
    <t>≤ 15 MPa</t>
  </si>
  <si>
    <t>15-20 MPa</t>
  </si>
  <si>
    <t>25-35 MPa</t>
  </si>
  <si>
    <t>≥ 35 MPa</t>
  </si>
  <si>
    <t>Exposed to rain</t>
  </si>
  <si>
    <t>Sheltered from rain</t>
  </si>
  <si>
    <t>In ground</t>
  </si>
  <si>
    <t>In door (with cover)</t>
  </si>
  <si>
    <t>Indoor (without cover)</t>
  </si>
  <si>
    <t>U_tcc_slag</t>
  </si>
  <si>
    <t>U_tcc_cement</t>
  </si>
  <si>
    <t>U_tcc_flyash</t>
  </si>
  <si>
    <t>Underwater</t>
  </si>
  <si>
    <t>Fly ash</t>
  </si>
  <si>
    <t>Slag</t>
  </si>
  <si>
    <t>Slag_CaO%</t>
  </si>
  <si>
    <t>fly ash%</t>
  </si>
  <si>
    <t>Slag%</t>
  </si>
  <si>
    <t>Molar ratio of CO2/CaO</t>
  </si>
  <si>
    <t>Clinker content</t>
  </si>
  <si>
    <t>Clinker_CaO%</t>
  </si>
  <si>
    <t>k_modified1</t>
  </si>
  <si>
    <t>k_modified2</t>
  </si>
  <si>
    <t>Analysis period (years)</t>
  </si>
  <si>
    <t>Fly ash_C_CaO%</t>
  </si>
  <si>
    <t>k_correction_flyash</t>
  </si>
  <si>
    <t>k_correction_slag</t>
  </si>
  <si>
    <t>Carbonation surface 1 (kg CO2/m2)</t>
  </si>
  <si>
    <t>Carbonation surface 2 (kg CO2/m2)</t>
  </si>
  <si>
    <t>exposure1</t>
  </si>
  <si>
    <t>exposure2</t>
  </si>
  <si>
    <t>compressive</t>
  </si>
  <si>
    <t>Input name</t>
  </si>
  <si>
    <t>Limestone</t>
  </si>
  <si>
    <t>Limestone content (kg/m3)</t>
  </si>
  <si>
    <t>Limestone%</t>
  </si>
  <si>
    <t>k_correction_limestone</t>
  </si>
  <si>
    <t>Use phase Carbon uptake (kg CO2)</t>
  </si>
  <si>
    <t>End of life assumptions</t>
  </si>
  <si>
    <t>Use phase Carbon Uptake</t>
  </si>
  <si>
    <t>Crushed concrete grading</t>
  </si>
  <si>
    <t xml:space="preserve">Stockpiling time period (years) </t>
  </si>
  <si>
    <t>End-of-life Carbon uptake (kg CO2)</t>
  </si>
  <si>
    <t>Coefficient_depth_stockpile</t>
  </si>
  <si>
    <t>18-month carbonation</t>
  </si>
  <si>
    <t>Selected_rate_coefficient</t>
  </si>
  <si>
    <t>rate_coefficient (kg CO2/m3/year^0.5)</t>
  </si>
  <si>
    <t>EoL_uptake (kg CO2eq)</t>
  </si>
  <si>
    <t>Values</t>
  </si>
  <si>
    <t>Annual results</t>
  </si>
  <si>
    <t>year</t>
  </si>
  <si>
    <t>Total carbonation1 (kg CO2/year^0.5)</t>
  </si>
  <si>
    <t>Total carbonation2 (kg CO2/year^0.5)</t>
  </si>
  <si>
    <t xml:space="preserve">Carbonation for 18 month for a mixture with 350 kg/m3 cement </t>
  </si>
  <si>
    <t>Cumulative Use Uptake</t>
  </si>
  <si>
    <t>Cumulative End of Life Uptake</t>
  </si>
  <si>
    <t>Reference</t>
  </si>
  <si>
    <t>MIT Concrete Sustainability Hub</t>
  </si>
  <si>
    <t>British Standards Institution; Sustainability of construction works, Environmental product declarations. Product Category Rules for concrete and concrete elements; BS EN 16757; 2017; pp. 58.</t>
  </si>
  <si>
    <t>Lagerblad, Björn; Carbon dioxide uptake during concrete life cycle: State of the art; Stockholm: Swedish Cement and Concrete Research Institute; 2005; pp. 48.</t>
  </si>
  <si>
    <t>Value (Please fill out all the yellow cells)</t>
  </si>
  <si>
    <t>Value (Please fill out all the yellow cells )</t>
  </si>
  <si>
    <t>Stripple, H.; Ljungkrantz, C.; Gustafsson, T; CO2 Uptake in Cement-Containing Products. Background and Calculation Models for IPCC Implementation; 1st ed.; Report Number: B 2309; IVL Swedish Environmental Research Institute: Stockholm, Sweden, 2018; pp. 66.</t>
  </si>
  <si>
    <t>EOL</t>
  </si>
  <si>
    <t>Stockpile height (m)</t>
  </si>
  <si>
    <t>Apparent density (kg/m^3)</t>
  </si>
  <si>
    <t>-</t>
  </si>
  <si>
    <t>Lovato PS, Possan E, Dal Molin DC, Masuero ÂB, Ribeiro JL. Modeling of mechanical properties and durability of recycled aggregate concretes. Construction and Building Materials. 2012 Jan 1;26(1):437-47.</t>
  </si>
  <si>
    <t>Padmini AK, Ramamurthy K, Mathews MS. Influence of parent concrete on the properties of recycled aggregate concrete. Construction and Building Materials. 2009 Feb 1;23(2):829-36.</t>
  </si>
  <si>
    <t xml:space="preserve"> Hessam AzariJafari, Ph.D.</t>
  </si>
  <si>
    <t>Randolph Kirchain, Ph.D.</t>
  </si>
  <si>
    <t>Jeremy Gregory, Ph.D.</t>
  </si>
  <si>
    <t>cshub@mit.edu</t>
  </si>
  <si>
    <t>loose density of the stockpiled concrete</t>
  </si>
  <si>
    <t>Volume of stockpiled concrete (m3)</t>
  </si>
  <si>
    <t>height (m)</t>
  </si>
  <si>
    <t>Slant height (m)</t>
  </si>
  <si>
    <t>Lateral surface area (m2)</t>
  </si>
  <si>
    <t>lateral carbonated volume (m3)</t>
  </si>
  <si>
    <t>Fine (particles less than 16 mm)</t>
  </si>
  <si>
    <t>Medium (particles less than 32 mm)</t>
  </si>
  <si>
    <t>Coarse (particles less than 64 mm)</t>
  </si>
  <si>
    <t>Mass of crushed concrete* (metric ton)</t>
  </si>
  <si>
    <t>Top radius (m)</t>
  </si>
  <si>
    <t>Bottom radius (m)</t>
  </si>
  <si>
    <t>Top cone carbonated volume (m3)</t>
  </si>
  <si>
    <t>Top height that possibly carbonated</t>
  </si>
  <si>
    <t>Bottom radius of the top carbonated cone (m)</t>
  </si>
  <si>
    <t>Thickness of lateral carbonation (m)</t>
  </si>
  <si>
    <t>Slant height of the top carbonated cone (m)</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</si>
  <si>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</si>
  <si>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</si>
  <si>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</si>
  <si>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</si>
  <si>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</si>
  <si>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</si>
  <si>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</si>
  <si>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</si>
  <si>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</si>
  <si>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</si>
  <si>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</si>
  <si>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</si>
  <si>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aabc93bb-1bfc-459c-98f0-f7accdb34f94</t>
  </si>
  <si>
    <t>CB_Block_0</t>
  </si>
  <si>
    <t>㜸〱敤㕣㙢㙣ㅣ搷㜵摥扢㉦敥㉣㐹㜱㉤捡て㈹㡥扣戶攳昸㐱㤵ㄶ㘵挹戲㥣㉡㌲ㅦㄲ㈵㐷ㄲ㈹㤱㤲敤㈴㉤㍤摣㥤㈱挷摡搹愵㘷㠶㤴攸ㄸ戱摡愴慦㈰㙤㔲㌷㈸㤰㌶㑤ㄵ㈷㝤戸㐰ㅦ㘹ㅡ扢〵ち㌴㑥〳㌴㈸攴戶㐰攳扥㤰ㄶ㜶㥡㐷ㅦ㘹㘰愰㝦昲㈳㐰晡㝤㘷㘶㜶㘷㜷戹㈳㙡㘵户㜴挱㤱收散㥤㜳ㅦ㜳敦戹攷㥥㜳敥㌹㜷㤸㔰㠹㐴攲㠷戸昸换㉢捤挴捤㌳慢慥㘷搸挳攳戵㑡挵㈸㜹㔶慤敡づ㡦㍡㡥扥㝡摣㜲扤ㄴち㘴攷㉣攴扢㤹㌹搷㝡捡挸捤慤ㄸ㡥㡢㐲㤹㐴㈲㤷搳㤲挸㘷㈳扣ぢ攱㠳挶㕡㝤㘹㠰搹昱戱愹昹㈷搰敡㡣㔷㜳㡣㕤挵戳㝥摤㠳㈳㈳挳㈳挳㝢昷㡦摣㍦扣㝢㔷㜱㝣戹攲㉤㍢挶挱慡戱散㌹㝡㘵㔷㜱㝡㜹扥㘲㤵摥㘳慣捥搶捥ㄹ搵㠳挶晣敥晢收昵扤て㡣散摤户捦㍣㜰攰㠱㍥扣㍡㜱㜲㝣㙣摡㌱㑣昷つ㙡㌳挳㉥敦㥤㌰㑡ㄶ挷㘶ㄸ㡥㔵㕤ㄸㅥㅦ挳晦㐸晦昱戴㝦㜸㘶搱㌰㍣扥摡㜰㡣㙡挹㜰㌵㔴散戵㐷㕤㜷搹㕥㈲昱㌴晢〸㠶㕡搲㕤㉦㘳㡦ㅢ㤵㡡㘶㠷慤收散㈹搰慥愲慦昶搹㌳㐶搵戵㍣㙢挵昲㔶戳昶㉣ㅡ㉡昷摢㘷㕣攳戴㕥㕤㌰㑥敡戶㤱戱㈷㤷慤㜲摡扦ㄲ愹㍢挳㈶愲ㅤ㤳攱て㡦扡昶昸愲敥㐸㡦㕣ㄲ㈶愶散ㄱ愷搴㕣昶昶捥敤戲敢昲〶戶㜹㐷攷㜲挸㌹慢㍢昵㤲㐳㥤㑢〶㠳㙦敥挱扤㥤换㐷㘸搴㕣攷敥捥㜵㠴㤴捤愵㔵㙦挰摦㐲㔱っ㐶换ㄲ昴㄰攴〸㌸㠱㕡㥥愰㤷愰て㐰愵晦ㅢ慢㈴㕡㤱㔹挹㌹㍤㌹㌷㥦㥣㉢㈵攷捡挹㌹㈳㌹㘷㈶攷ㄶ㤲㜳㡢挹㌹㉢㌹昷㐴㜲敥ㅣ捡㠴㔷慥愷㈷ㄹ㕣慦㝣敢户㕥㜹愰昸㘷て㝦昶捣昳〷㝥㝢晢㙢㍦搹户〵㠵㑥〵㥤㥡㜰昴昳㘰戵〶ㄷ敦ㄹ摥捤㝦㔷㕥ㄵ㔸ㄴ收㍥㜳扦㌹㌲㔲摥户㕢扦㑦捦㜰㔸㌱㤳摦挴㈸〵㤴敤㌳ㅦ戱慡攵摡㜹㤹扢㥢挷㜴搷㘸㄰㙥㈸挸ㅢ慢㉤㔷换敥摢搶捥㥣昱㜴捦搸搱㥡搷㘸愴慤摡っ㤶㤵攱捡晢㜶戶㔶㍢慢㔷㤶㡤搱ぢ㤶㥦晤昶㤶㙣㝢摡愹捤㜷捥㍤攲ㄸ㑦搶㜳摢㝡㌴ち愱戶㈲㙤户㡤搲捦昲晢㔵ㅣ㕦慣戹㐶㔵扡㌷㘴㑦㕢愵㜳㠶㌳㘳㔰㈴ㅡ㘵ㄹ敡昵捣ち㔶晤搰㔴ㄵ〳挵㙡㉤摦ㄶ挵㥡㠷㉦㜸㔸捣㐶ㄹ晤㕤㌲ㅣ㙦㜵㔶㥦慦ㄸ㌷㌴ㄵ昱摦㠹㡣敤㑤攸㈳戵搲戲㍢㕥慢㝡㑥慤搲㥣㌳㕡㕥搱㈱㘹捡㈷㙡㘵㈳㥤㑥㠸㔰㠰挰㑤愵㤴㑡摣搳㜹㉤挸㐴㐴愶㤸ぢ昹愶㘶戶ㅢ㍥㡤搱㘱ㄴㄵ㠳㍣㤹㝣挷ㄵㅡ㘳㝦㐵挶挴慣挰挸㤸愸㍦昸搲扢慥搰㙣㝤收摥摣挲挹攴㘰㌰晡挳㉢㐶搵㍢慡㔷换ㄵ挳㠹搵㝥㡡㍤搲〶〰㌲慦㐳㈰㜴愴ㅥ㔵㥤扡愰㔶㌳攷慤戲户㤸㕤㌴慣㠵㐵て㌸㘸挸㕣㡥愴㙤扢戴敢㠰搲戶ㄲっ〲攴昳㠹散㌶ㄶ捡收㜱㈵㌲㤴㑥㌱㙢戹㐹㤰戳㕥搳㕡敥㌳㡦㔸ㄵ捦昰㠵昲㠰㠹ㄹ昱戵㥡㑣㕦㍦㔹搴搱㑢扥挲搸㘶㡥㠳㑢㜵慢敡慤㌶搶㙤摢㉡昱㤹㘸㔳ㄶ㙣㌸㔹㐰㔱搰㉣て㘲搶ㅡ㤸愶㐵ㅡ挴ㄷ㡥㌰ㄱ㤷㐱㡣㘶㐷换捤㑣挶昲㌱㌲〲攵愳㑣挸搲扢㍢换〸㌲㝢㍢㤳戲㔲挷昵戸㈹捤搶戲攵㝤㘹㜶㍤〸愷摤㐰㜰㈳挱㑤〴摢〱搴户㈱攱㈸攵㤰㙥扥戴户攱㔹扢㤹攰敤〰㤰㑦ㅡ㘵㑥㈰慡㘸㐳慤挷㡥㘴戹㝥搸挹㘲ㄴ晢愲㠸㤶㜱摤捥散户㘵愲〳慢㜳㘳攸摡戴攸搸㜷㜶收捤攸㜰挸㤱㌱㐵愳㘳扤㐲搱㈸㈱㔸戴㑢扤㜵ぢ慡㙡㐵㠲㕢〱昲摡㙤㠴㔰㉥㌴㜸搷㘷搱搳愴㝣㑢㤸㐵扥㌱搴愵㠲てㄸ㤹㕢㠰ㄸ㈱搷戶㝤搹戴愱㘹づづ㤹㙦㜹ㅢ㝡㔷攷昵ㅤ㑣㝡㡢摥摣搴㍢昴ㄷ㕤愵ㄵ㝤㍢㤶㤷晡㝡㐷ㅤ㜳〷戲戵㜷ㄲ摣〹搰愲㘳戸晢扥㕡㑦㠱㤸挵㜶㘴收戶搲敢㈲㔶敥散敡㤲㈱ㅡ愸捦㥣搵㥤〵挳㠳〷攳搸〴㙣攱㥡攳ㄸㄵ㙣㙡换㠲攰晥攵挶㘶愴㝢挴愹搹挴㙦摡挸敥㕢㐲㌱愴搳挹㔴愲挵㐶㡥戱㌵㈳㍥愷〸攷㔰〷摦搷㔹㐸㐴㉡㌵戳ㄷ敢挵敦㉦㌷㈵㐹ㄷ㤲攴㙥㤰㔵扢〷〰㔲㐲扤搲㔱愲散㘲戱ㅦ㤱㘲捤ㄶ㉢㍤㝣㌱扢㤳ㄶㅦ㘲㥢ㅣ改昵ㅤ戶㘳昰ㅦ戸晤昶㡣㘵搷㠵㐵慦㍤㙤㌸㈵昸ㄶ慣㡡㤱昷摤戲ㄴ㌵㥢戲攲㉤㈲㉢㔲愹戶晤㜴㡣㝦㑤昸愴㐵㑡挴慥昶搸捣㤸扤㜸㠳愹攸㠶愴㔰㠹㜱つ搵㈵㄰㌹㡦㘵㌷㐵㑣ㄷ㈲收㕥㄰㑥摢㑤㌰㐲戰〷㈰昳㌲㈴捤㝡〹捦㜰㔸捦ち㕤摡㜳㜳㠹ㅣ愷㐱㕣㠴㤷㍢ち慢㝤㝣捤晤〴晢〱㕡捣ㅦ㍡㈰㘳ㄸ㔱愶㍣挲㠸ㄲ挶㌰捦㕡挶㜹昲挰ㄶㄳ㠱愵昱㘵搷慢搹㡣㉣昵㥢ㄳ戵㤳㌵㙦挲㜲㤷㄰㠹ㅡ㌴㠳挴㈳㡢㐶ㄵ摣攵挰昶㘹挱搵㤶㤶㡣戲㘶捥搴㤶㈱摡㡥㑤㙣㠴㡤㌹挸〱㕢㔲昶收㐹㠵慢扢晤㌱㥡㔰愰戴昸㕢改㡤㕤㤷昷㥢㥢扥㠱〶㐵㘷㉤慦㘲昴㥡晥愲㘳㍡㘷㠲㡡㠸ㅣ㤴㝢捣搹㐵挷㌰㈶晡捤㐹挷㉡㔷慣慡挱挹㠰㡤挹㘰摤㜱㘳〱㔱㠲改ㅡ㘳㠰戵㙡扦㌹敢攸㔵㜷㐹㘷㐰㜱㜵㙢搳㤳㠴㐵㌲收㤸㔵㜵昱ㅡ㤹㐵愶〷捣㤹挵摡㜹㐴㙣㤷敤敡愴扥攴㙥㠸㔹㈱搳晢㤷㑣㡤㑡慡㘴㔲攵㤲戹㙥攷㠷ㅢ昲㐴㠲㙢㉦㑤㈰㜳㤵挸搰㘷ㅥ愳扤㘹搷〷㌱ㅡ摡改散㔳ㅦ愲㐷㜵㘴㉡㔶ち㜳愵㙡〷㔸攷㐱㠰㠷㈷捦ㅣ㙢㐴收慥㈹㘶㥤愱㤷㍦㐶挶ぢ㕢搴〳㈱昴搱㙤昱㔹㠵㌸㜲づ㔶㈰㘶㥣㑦慤散㤷㌷愵っ戹㙦㑢㈳㜹〴㤱愴㍥昳戸㍥㙦㔴㄰㡦戶㜵㙦㡢晦㐰㌳搶搶㉢㙥㤰㌷㕥戳㙤㥤慣㐵戶㥣㈹改攴攰搱㘵慦㜶挲慡㙡㈶㠰昰㕦㠰搲㉦〰愵㕦㄰㔴㥦㜹㥡愱㐱㐹戳慤摡㠲敥㔸摥愲㙤㤵㜲㝣㘰昸㙥㐳昰㈴ㄶ㌹㈵㙦㜸㠵㌲愳搸㘲捤㥦㠱挹收づ㘳扡㠷㈱㐷㐹㍡㑥㍦㌸㌷愹戲昸愷扡㜴㉣㐱挰㠸愷㔴晢㔱戴㤶㤱搳ㄱ㄰㌹㜲扤ㅥ㥥挱㜸晤ㄹ㘰㝣㈱挴㔹㡦㘱ㄱ㜸〵㈳㐲㥥㉥敥慣㜹愶㙡㜹㤸㍤捥搸ㄱ换㥢㜰㌱攵〰㐸捡昶㜶㠷捣㙡愴搲㔰㕤㉢摣搲㥥搵愴㈶㜶戶攷㐷昵挶㍢搶挸昶㌵㑡㐴㤱㕣愹㤰㘸㤶㌵晡戸㤱㔴㡤ㄲ挵ㅤ㙡ㅢㄵ攷㌶㙤搰㥤㔲攴ㅡㄴ㤳昰㑣㐲㝢户㌰ち〲扤昹扣㜶〸㘹扡㙥改户㡦㘷㤱㐸搴㠶㜶㐰㥥扡捡挷昵〷㘱挱㘳㌸㝡㔲㌶昲挱ㄳ搶昸㤶㈰㌹戵散㌵攵攸ㄷ〶㠳㥣搱㑡㘵慡ち㑢愱愴㍢攵つ戲慣㌱㌶㕦换挸ち敤搶〲㐰㉢戸㈲㡢ㄱ㙥昲㠷㠰㈱慤ㄹㅥ㠹昱〷㘳㌹㘲㤱㐵㈲慢戴搲晡㐹敥㍡㍡挷愷ㄳ㠶㕥㤵㔹㤸昱捡ㄳ挶㡡㤸㘳つ㡢㝥㔰㉡搴㜷㡤㈲㑦㌵㜳㜴摥㠵㙡昷㈸捦㠳㤴㉣㜴捤㍣㑤昷ㄴづ㌳㐰晣〶愹改㤲㠷㄰㙦扤〱敥㄰㌶捥っ㠱㈲㝥〸㠵㔶ㅡ㈵㘹㌶㠶㜹㥢〷挱㌵搴攵慣㐲愰㥡㜲㝤敦㤰晡㤵㑦昲㝡晥㔰㈲㑣〴〶ㅦ挳㕥㌱㔶〴㈶㌷ㅡ愱攴㑡ㅡっ〳攷扥㠴ㄳ攱搵ㄷ攲㘸㙡昴搳昴㜳㍣㥣收㘱㑣㙢㠰㑢愷㠲昳㙥㥥〵慤㕡㔹摤㘲ㅥ慢㤶㉡换㘵㐳㔴㜲㈸戳㐵㌳㙦㠸昹㤲愳㠰晥㡡㡡愱㑢㐰㤴㘳搸㔲㜱挸㥣愴敥敤㙦㙤ㄴ搵㐵搸㔱〵㙡攳㜸攲扡㘳㌰㌲挶㐵㈷挱戱戶㌳ぢ戴ㄵ户㌶づ㌳挸㐱㍡㠸戶㌶ㄴ㘵摡㜱㥣捤慢㐷㤴㘵挵㐵㡡ㅤ慦ㅤ慦搱㝥㡦愰㡥㕡㍥㙡㐳捣ㄳ挶改ぢ扥㙣ㄶ㠶㐹㤷㉢㠴㡤㐰敡挹㑦攲昵㘷㠲㕦㈸ㄹ㌱㐴ㄴ攳扤摣ㄱ㈵戲ㄳ㑣㡤㡦ㄷ㈷㔶慢㍡㙣扢㘲昱换㉦ㄶ昷挲㍥㔶㈹戱换㤳つ扢㕣㌱㍥㑣摢㕣㍢っ愰ㄸ㈸愶挹ぢ昵攵㥢㐰㤳㐸挷㥡㐰摡㔱㤴攰晣摦㠲摦㤸㌸㙡㌴攴捡㐸收㈰摣晡㤸㑥慣㌵㙥户㘷㙢㔰㔳摥㌶㌹㍥ㄶ㥥㘰ㅣ戲戱㔱慡㌹㌷戴㈰愷㜵て㠷㘴慡摢㕢搰愳攵㌲㡤㘲㜸昱㌶挴㝣攳㠰㠷㙦戴㙥㙢㌹扡㈵㘳愲ㄵ㜸㝢㑢㐶㜰愴㜰捦挴昰㔱摤㉢㉤捥㜸慢晥昱慥㙥㤹㈵昳㈲扣ㄶ㙢扥㥤㤶㜵ㅡ㡣㘱㘴㔶㐸晢晣戹㙡敤㝣㔵晡㤵㜱㜹㌶㄰换ㅡ〷㉤㝢搸挹㝣攲㠷昸㈷㔷㌲㤱㜹〱㉤慥愷摢㙣愰攱㐶㘱㍢㜲昹收㜲ㄱ改ㄸ㍥㠱㠵㕦㍦㕢㐰㍥搹搶挲㈷㈲㈲㌶ㄹ愵扡昰㠶㌱㡡晡㈲愶㤵捣攲㙦摣㐱昳摦挴昲㔷㝦〴っ㈷ㅣ捦㠱㠰挹摣㡡㔴捣搴㠹㠸てづ㠲昰搸挸晦㥦㔹ち㔷昳㥡换改㝦㘱㌱慢㉦戴㑥搱㑥㑥搱ㅦ戶㑤㤱攲㘱ㄱ㔹扦㔳㐱㠲てㄹ〶㜱慦㉡㕣捥㌱㙤㙥㔳摦昴㘳挱晦㠷摢搴㔳㤸㘱㕥捡户慣搵ㅤ㐸㡢昱〰㈹戰㠶㤹挰㄰扦㤸〹愷㔹㠷戱㝥摦㑣〸㍣㈵戳㐰挴㥡〹㜸㑢㈲挳〸㘰㡣㠹ㄸ〹挸㐶㥣ㅦ摣㥦摤㘰搳㡢㜶ㄴ挷㜳つㄷ㔱㝦㈸㉤㜷ㅣ㝥慢ㅢ摢搱搳扡愳摢摢〵㍦改ㄸ㔰㘶捥㉣捥㝢㑢ㄵ搶搸戱㘶㡥㔴㕡挳愳ㄱ晡攲㌷扤㉥敢㍢攵㡥㤹昲㉦摦挹慦㜲㉡㝢つ晥ㄴ挵ㅤ㐵攲〳摢㝥㙦昲戵愷㍥㝣㈸㐷㠱〷㤷捡ㄹ攰挸㑢昷攰户㥢攰㍥㙤ち㠴㝦㈳㐷㑡慥攷㈷㍣㈷昰㌱㤳戵㔴㌱挶㜴㐷㉣㈱㔷戳挳愴捦㝣ㄱ收昴ㄹ㜰㈳㤸㤹㌸㈱攱㥢㤹挳㉤㡥㔱昹〴㑡㥣㠹挳㤱㡥㡢昷㉦っ㌰慡㡥捡慣㑢㡢㌳昳㍢㔰㐷㔷搹㤱㘶㑢㤱晢㔲㕥㑡㍤摦慡敦昶昹搳㡦㤹㔷㍣㈰㄰㑡㉡㐴㉡挸㈵搱つつ㡦づ㠸愴㝡ㄴ㠹捣扤〰㌱㌱戸搶㘰㌰㍤〶㥢㠲挰愸ㅦて散昲㜳ㄷ㔰㤱㕡㠴㕦扡㕣㠳〰愰㍤ㅡ慡㈷〶㜵挵慥㜹っ〹搹挰㄰㌱ㄲ㘲摦㡢㐴㜸㘵昶㈰戵㙥㠷ㄵ㕦搲㙦晢㈱㍡㝦㘱㘷㙣㝡攳昲昶攱敡㌲捥㠸㐰搷㘴㐵㘹㔴户ㄲ㡤㑤愹㐴昳晣愲㜹ㅦ㐵㌸攰㈷敢㤵㝡㠳㉣攸慤敡㜶散㑣ㄱ㈶攴㌷㐵捣ㅦ㙡㌴㝤㝤㙢づ昵㕣戵〷〳攴つㅢ㙣㘷捣挲挶㕢戹㘲㈰㘵搷㔵㉡攷ㅦ㈴㝦ㅦ慡㜰搰〹愵㌵㤲昲慣ㄸ捤づ㔷㔶㉡搹收㉡㘰㥣㕢㔶搶晢㔹㥢〱敦㈶ㅢ攰挷㠱戸愲つ愰攰㠵昰㈷㜲㉥㐸㠸㠱捡㐸换ㄵ㠳㍢愴〸晣摦〸昳挸收㔸㤳㈴㠳攳㝥㙡〶㥦戹晡搹㈲挱攱ㄹ㑢户ㅥ愲愸搷愵㝤摢摢㔱〰㌲㡡㤴戹〴ㄱ搴戱㝥戳摣ち㜷戸㔹ㅤㄵ户㥤戰㑡㑥捤慤㤹㕥㜱〶攱攱㈲扦㔲㌳㘱昷㡣慡㑦户ち戵摢㐱㠹扥ㄲ敡㥣㥣㠲挰㍥㘹㜸㙦㔴搴㤲㌱㠸昵挵㍣昸挵㔲㈱ㄲ㠸愲㜶㜰慦㌳㑦㉤敢ㄵ㝣攴㍡〵㙦愸㐷搴㠶㔰㜶扥㑦扡昵㉣〷㐹㠷搳㕣敦㠱㑦挸愸っ㈳㡣㈶㐳㜸摦㡦㤱慥慤㌴㘸㉥ㅢ㡣捤㘵挹敥㍣㜲㕡ㄹ㔵㌳扦㡡㜹㕤摦㥢㥡搹㠶敦㑤攱捥㙢攰てㅡ㌵敡㄰㝥㔹㐶㕢〰攰搴昰㔶てㄱ攰搶㥡愴摣㈸㌰敢㜷昹戲晥㈰搶㐵昰愹㌸㥤㘷㐳ㄵ戸摣搶ㄱ㔷户昸晡㜱〲摣㑤㝤㔰攲㌳㈴昶ㅣ〰〳愵ㄲ㉣㥤㐴㠲ぢ㕡㝤〲㠴攱㌲㐲㍡㤱戵〱㍡慦㡤㘷搷㕡ㅢ㡡扥㐵㜹㙢つ㠹㤰ㅥ〵㙥㙤㈹ぢ戴㈵㠰晥㤴㍡㠵ㅦ㜲㝣㕥㝤っ慤㜰㌶㝣慡㍡挴㠱慡愷昱摢摥㜷㙥㔹愴㤷ㅦ㐵㠵㝡㉦㤷㠱敤摣换㡦慣搹㑢㥡愴敤敤搳晣㘸挳ㄶ㐲昵愵㕤㐰戶戶㑡昰ㄴ挱〷〰ち攱晣づ㔰㌰㜳㠴㔹㍦晣昱㈷攴ぢ㕣㝦ㄳ晣扥㝡攸攵换扣扥㝢㐸㠹㈸㐶㔶昳扣㔰ㄴ换搸㍥ㄴㅤ摢〷㠱敤㍣戶㥦㔸㙢㙣㠵㌹搴ㄱ㕡㕦㐴愲㍦搵㐳㠶㤷㘱㜱愶搳昱㕣ㅦ慥挵ㄲ㡡㘶㥥㐱昳敢㉢㑥愲㌵扣㠷慣捣改㔴ㅦ㐴〳㙣㠴扤㔱㕣㌰㐲摣て㈱㤱つ敥挲〲ㄲ㜴㍣㘹ㅦ㈶昸㈹㠲㥦㈶昸ㄹ㠲㥦㈵昸㌹㠲㡦〰攴㤵戰㌵ㅦ㐳慡㈳㥤㈸㤰㤱㘵扣ㅦ㘵搶捦〳昴㈷ぢ攴㍥㘹昷ㄷ㠸晣ㄸ挱挷〹㝥㤱攰㔹㠲㕦㈲昸〴㐰㍥㐳愶㝣㔷㘷慤㑤愳㍣晣ㄸㄹ㘱㤹愶慦㡥て攳㉢攲㔵ㄲ㌶㠵㍦愲㤰ㄱㄳ㈳㥤㝣戰扢戶㐲㌳㥦ㄶ㐲收ㅣ攸㜶つ敤㌴捦〸㕢摣㠱㍢㠷つㄹ㤷㤸捣挳㉦㈳挱㘹攲㥤㈱㙦挷㝣㕢㈶㐶㌷捦攱㤲愶㔹摦换㥦昵㑤慤㥣ㅤ戸昷㌷㠴挲挱㜰㘸挲㜶戴ㄳ戲㕤ㅥ㌰㔱ㄶ收㐳㍣慥㐷㡦㠶ㅦ敥㈵㠳㔰㈷搶扡ㅦ捤愱㙣㈰㈱搵㘲㔸昸昳㉦㌴㝣昱挸挰〵㠱攰ㄷ愶っ㤱挲ぢ㘱攱㍤昸㈸㔰捡㠸㑣㘶敡搵戰㌰㘵㡤ㄴ㌶挳挲晦戹㘷㝢扤㜰㈸㕡晣㤶㌳ㄷ㔱㌸㘶〳㈵㕢捡挸ㅦ〸ㄸ㐰昱㡣㐹愳慣搷昴搱㘴㐴㌹戵㔰ㄱ戳慣て㘷㤱ㅣ㝣愲㝦ㅣ㐷敢㜰〲〹㥡摢晦㑢ㅤ挷㜰攴㙥㐲昷㜴㝣㠱扦㠲㜳づ㡥㈶㑦慣㥣㌵愷ㅣ㈰㝡捣㘳㉥㌶敡攵つ挵㈲戰㌱搳㕣戰〱愷㈴㍢戲㑡捣㝥愴㐱㡦㌰㌶㥢攴ㄱ愶㉥㉤ㄲ㥥㝢㑦慢㜲㌸戳㠹㡢つ㥥搱㝥つ㜹搰㠷散㉥ㄲ摡愷〱晤㈸ㅦ㉢㈵ち㤴愵㈲收㉥㈱愱㝤㠶攰㌹㠲捦ㄲ㝣㡥攰㌷〰晡㤳㡡攲㤵㘲㑥扤ㄷ慦愱㙣攱慡捦㉢ち㕣㐱㍦ㄶ愰戹㤷挸㉢㡡㘰㐱㍦ㅡ愰㜹ㅡ㈶慦㈸㤴〵晤㐸㠰收挱㡤扣愲㤸ㄶ昴搹〰㝤㤷愰㈹戸〵㝤㈶㐰摦㉤㘸㡡㜲㐱捦〶㘸敡搷扣愲昰扥㠸㍢晢扢〰〵搸㜹てㄶㄱ㔵㉥㌲っ㙥搸㠶㔲愷㔱摡㡦㜸㐴挹昳晢慣昱〷〰㈹㐴㌲晣ㄳ㕦㌸挵愳㝤ㅥ㤸〸㤹ㄴ㤵挲㐵摣搹㉦〰っ㠴㝦㌵愶戸㈲㙥挹愴㍡ㅥ戶ㅤ㕤㔴摡ㄷ㔱㔶㘳摢㌸㥢㐶㠸㜶㕦㈴㡡㤴ㄷ㤰㔰㔴㉥㌲㤶挹㘰㉣㍥㔵愹㙥〴㝤㈴㐰晢㔴晤㜸㠸㍥ㅣ愰㝤慡㔲㈵㐹改㠹〰敤㔳㤵㑡㑡搰攳〱摡愷㉡搵㤶愰挷〲戴㑦㔵㉡㌲㐱㡦〶㘸愱㙡㠱㌲㍥㡤㕢晢ㄲ挱㑢〴㕦〶挸㘷挸㔷敢㘶㜰づ扦㑢㑢昴捦㔱㔵㤱㙢搹㠶昶㤵㈰㈱昴扣㠴〷改昲扢㠲㉥搳晣挹㈵戳敡㌳㘱挶㠳㐱挶㐱挹㐸㉢戲戶搴㌸㄰㘴搰戸搲扥ち愰挸昰㤲戵㍦挸㝡㌷㄰㔴㜷㥦ぢ㌳敥て㌲㐶㠳っ㉥っ愹戱㉦挸㤸づ㌲挸㔳㈴㡦㜶ㄹ㐰㤱㤵愴敦㉦㈳㐱戹挱㕢㤱㌷愴捣㕦昱㠹㙣㈱㘵晥㍡㐸昰㐱㝤〹㐰㕥戰㍢㜸㐱㌸扥㤷挲㡣㝢㠳っ㝦㝣㑡㜱㙡愴挶㜰㤰㈱攳晢㕢㘰㤵搰ㄱ㠹㘶搳㠷昴㤴改㝤〵㠹晥搴〰㐹昱〸敥攴〵㔵㝡扣晣昸攳摦ㅦ㐸ㄷ㜷愴ㅦ㝤愸敦㤳慦晥攵㌷㥥晤摡晢て㝥攷〷㥦晡搴搷扥昹散攵ㅦ晣改晣挱扦㜸敥戹慦㍣晣敢㤷扦戱搵扣㤴㝣攱晢挷㉦㍤㍤㜲敥改㈷捤㌳昷㑣㍥晤搸ㄳ愷㐶愶慦ㅢ㑡愵㝡㝡敥ㅣ晣敡㑤㜷ㄵ㉥㍥昹挷敡愵㝦扣戱慡㠴㈴㜸㠱昶㜷〰㘴㜶摥〵㤲㐶扡昱昷㐸㘸晦〰〰㠹㈳㤴攱㜳㤳戱㐶ち㐹搱㝦㘲愹搴〰〷昷愶昶㤸㤴ㄱ㥡摥ㄱ搰㜴っ〸㌰㐶㠱㈳㤰㥥㝣ㅤ〹敤㥦〹晥〵㈰慦㌸〸愹㜱㙢㜳つ挵㠱㐹㐶㌱挸㈸戰搲㙢〰㡡愳㤱慣㥤捤㜵㌲㙣㍣收戸㝢㐳㤱攴搸㤶戸戱愸㔲摡㕤㔹搷〵〷㠲㠶敡㘵戶搶㌱㜵て搶㤶㍡㑡㥣㔲㔷敢挴〲㌹㐸㤱挴㙤㥤敤㔷扡挸㐲㥤㤷㔳敢㉥ㄸ㌸戲晥㤵慤攳㔲㕡㍤㈵㡦㡡攴㤷㜹昸㈶㜳愵㐴㍤㈵㡦㡡㜳㈳㈵扥㠵〴㝢愹戴㝡㑡ㅥㄵ㈷㐲搶攴户㤱挸昰〵敢攸ㅥㅢ敦㔲戴㝤〷㔵ㄵ㝢挹㔷㘹晦挶㈷昶㐸㥥晥㥤㑦散〷摢搷晥〳㠰㤷㠸づ愹㠶㠷愶㜵愱愴㝡ㅢ㔶㥡㈱昶扢〰㐲〷晣ㄶ挲收ち挴㜲散摡㝦〱㘰㔷捤㥦㍤㝣晥ㅥ㐰㕥捡㐷㤲昲㍣挰㉣㕥搹摥晦〱㐱愱㔰㌰</t>
  </si>
  <si>
    <t>Decisioneering:7.0.0.0</t>
  </si>
  <si>
    <t>62568af2-6e38-41cc-9a39-8ac1efa25c5b</t>
  </si>
  <si>
    <t>CB_Block_7.0.0.0:1</t>
  </si>
  <si>
    <t>CB_Block_7.3.0.0:2</t>
  </si>
  <si>
    <t>Decisioneering:7.3.0.0</t>
  </si>
  <si>
    <t>㜸〱捤㔸㕢㡣ㅢ㔷ㄹ昶㡣㍤戶挷昶㕥㘸㉥㉡㐹㤳㙥搳㔰㠲㌶戵㜶㜳㘹㉥㈵ㄴ慦㥤㑤戶摤㕢㘳㈷㘹㐵㈴㙢㙣㥦搹㥤敥㕣㤶㤹昱敥㥡ㄷ㠴㜸ぢㄲㄲ〲㈱㐰ㄵて㍣㈱㠴㜸愰㔰㤵㠲〴㐸㠸㈷㜸〴㕥㠰ㄷ捡㑤㐲㈲攲〱㕥㐰昰㝤㘷挶㕥慦搷㥢㕢㠳㤴搹昵㍦攷㥣晦㥣晦㕣晥晦晦晥晦㑣㐲㐹㈴ㄲ晦挵挳㌷㥦ㄴぢ㑦㔵㍢㐱㈸㥣㘲搹戳㙤搱っ㉤捦つ㡡㈵摦㌷㍡昳㔶㄰㈶搱㈱㕤户挰て戴㝡㘰㝤㑡㘴敢ㅢ挲て搰㐹㑢㈴戲㔹㕤〵㥦㐲昸ㅢ敦㔶㜴㡥㉡愴㐰㙡攵㤹愵挶ㅢ㤰㕡つ㍤㕦㥣㥣戸ㄱ㡤扤㌴㍤㕤㥣㉥㥥㌹㌷晤㐲㜱敡攴㐴戹㙤㠷㙤㕦㕣㜲㐵㍢昴つ晢攴挴㜲扢㘱㕢捤㔷㐴愷收慤〹昷㤲㘸㑣㥤㙥ㄸ㘷捥㑦㥦㌹㝢搶扣㜰攱㝣〱㔳㈷㤶换㌳㔷㠵扤づ㜹㡦㑡㙡ㅡ㔲ㄷ换㌳换扥㌰ㅦ㤵㑣㡤〷昱㝣㐵㌴㉤㥥㤸㄰扥攵慥ㄴ换㌳昸敦㍢ㄵ搴捥ㄵ㤷慡搵愶ㄱ㠶挲攷摥㜴㘷愹搹戸㘱搸㙤㤱㜶攴㜲戲捥つ挳㕦㌴ㅣ㌱攲㕣て挴㌵挳㕤ㄱ慣㘹捥㤵戶搵㑡㐱㡢挹㡦っ㥢㈴㍥愰攲㔲㜹愶扣㙡昸愱ㄴ挹〹㈶㠷昵㤶㌳ㄵ攳㘵挸晥戲㠵挷愲攴㘳ㅢ㤱昳㜱㠵ㄹ㤲㉣㐸㕡〷ㄹ㡢㐷㑤挸㘱ㄳ搳㑡敡㥦戰戲晥㐱㜹昴㔲敢㠶㕡㙦愸昵愶㕡㙦愹㜵愱搶㑤戵扥愲搶㔷搵扡愵搶摦㔰敢㙢攸搳㝤戲㤹㡣ㅡ㍦㉦㈷愷戲㕦㝦㑦㔹昸㐲攲敤捦㍦㜷昱㤵戰㐰㔹㡢搸㔳㜱㔱㠴㡦㐸昹ㅡ昷㜳晦㘷㔸㐰㙦捤㠹㔴㔰ㄱ㐱㔳愷㝥收摣㤶搸㑡愳〴扤ㄵ㥣戲攷㠶㘲㉢慣ㄸ愱㤱㜱㤶つ㕦戸愱㡥㑥㤳㜲㔴㔴攲挸ㄱ搹搶ㅤ㥤㡢㙢㤰㌰㉥㡢㝤㔲昲戲㈱㤲愴挰摤㤲愹㠸㘶搳挳ㅣ昸慡ㄱ慣㠶㐶挳ㄶ挷〷㔴捤㜳㠳㜵㕤て㉤㍢㈸㐲攴ㄵ摦㙢慦昳㐴ㅦ㤵ㅣ㘹挰㌴㡡昴〸㠸㠴ㅢ扥昱㝣㕣ㅦ〵捤改㘴敡㘴ㄲ㡡昰攲ㄳ昳ち㑦愰㡣㈵㔶㍣挷戰摣㐷愴摣挲㍥〸㝤㌵戶攰㡡㙦㙣挲ぢ户㐵㥦㉡㑥昱敦摥㌰〴ㄴ㌲捦㥡攷捣改改搶搹㈹攳戴愱搱晣ㅦ挴㤳㥥㐶晦㠲㜳搳㜲㕢摥愶㜴慤ㄱ愷㙡㐹换愹㄰㙡ぢ㑥捤昰㔷〴扣搴㥦慢攴ㅣ改㑡戵捥扡挸㍢㕣昳戲㘷戹㘱㔰㜰攴扢摡㜱ㅡ㥥㥤㡦㉡挰㙤捦捦挵っ㈰戴㉥晢捦㕢㉥㑡愴㔵戴攵㘴㐹昶㡣ㅡ㈹ㄸ搳慦㝡㥢戳㤶つ搸ㄱ慤挳㜲㔸搹昳㝤㘱ㅢ㡣〲㘵㑦㤸愶搵戴㘰戹愳捥慣敦㌹㔵攱〶㜲㔵〷㘵搷㙢㘲挵ㄷ〱㠱慤㈲㐲〳收昴搴㡣ㄱ㠸㙤攰㤸㌴愳慤捥㜸㙤户ㄵㅣㅥ捥慣㠶㐶㈸づつ昲戶㠵散ㅡ㔶〵㠸㡡㐰ㅥ摦搱挱㘱搲昵㑡㕢㔶挴㍥㌲挰〶㤴㝡㡤扤戹戳扥昸㘴㡦扢㙢㐵㈵〴挶つ㐱晥慥㕤㐶慣㘸㕤〰㐰㉦㄰慥㕣摥愴戳㙣㌵搷㠴㕦ㄵっ慢愲㈵户㝡㠰㉣ㅣ户摢ㄴ挱攴㤲㡢㡤〲换㕢挷晡㕢捤换㕢愱〰㤶戴戰㕥挴户戰㔳愳ㅦㅦ摣搱㈵㥡ㄳ㡣て敥㘸㥥昵㥡敤㠰㤸攱㝢昶㑥㑥愹戵㘱㘰捥搶㠲搷ㄲ愹愴㥡㑡㈸っ捦㈹㤲㐴ち㙦㍣㠸攱挹㈴㌰攵攴〰㘲挸㜸挵㘹㠲㙥㜰攸㌳㘱㐶㠷㘱昸搳㑢㈰㍥扣户㌴愹㘵ㅡ㈲㝦㌲捣散摦改愴㑣㐹㍣㥦摥㥢㔱㌲㝢昲㠶挲昶㡥昵搲ぢ㝡㜳㈸㡡昲攴挰㌴搷愰ㅦ攸挱ㄶ㥣㑡ㅤ㐴捣扥晤㙦摢㈵㤷㝢㤷㠹晢戴㐲搷㘶敦ㄳ昷㌸㠸㥥敤晤㝦㍢慢敡扥㜸昷㤷㌷攰搹㔷つ户㘵ぢ晦慥㉡㔴戸㈲㝤㍦挹〱㤲㠳㈰摡㕦㠱摤昷慢㕢㈶㠷㤹つ挶挵㝡ㅤ㜱〶㌵摡㥤㤲㝥ㄲ㌴扤㘰昸㌰㙦敤捦㤰㌷㔴挵搲㑥㕤㘶㍢㔲㐲㙥捤昵㌶㠱㑤㌰っ㉤㈰㜸㔰戸㥥挹㔰㜵㌹晣攲㐷㑤愸〹〵晦㝦㠲㔸㡡捥摤扡㜵㉢㡥㌵㙡㐲晢㈳㕡敥愲扤㌸㥢改㥡捤敥攵㜳ㄲ搸㔱㐲㝢て㠲昶戴㈶戹挹㉤愵愳㙤㕡慤㜰㌵扤㉡慣㤵搵㤰㐳戳㜸戸摥㜷㤱㌰晦〱ㄲ扥㠹昷㐷昱㔳昵㈳㘸搵㡦㤲㌰㔸攴㜲㔱㥣㑣攷昴㘷愲㙡㡡ㄱ㜴㤸戲㝡昱㥥㠹㑣㙥摥㌳㕡戳㐶ㄳ㌹㜷㈶捥戸戳㘵捦㔹㐷ㄶ攲㡦戳㘷ㄹ㈸〰㜴搹戰㕡挲捦戲㠱㌱㈲㠵㠴㍢㐸㑢っつ㤰㕥㈴ㄳ㥡㤶捦づ㥢㙢慥㉢敢㜸㙣㐹搰㐶敦收㌰户㑢晥摦㕥㍤晦ㄲ㙦〶戹ㅣ戳㘱晤ㄸ挹戳㈰ㅡ㉤敡㠱挰㘶㡣㐳㥤㘵摢ぢ戹摥㔱愷散攳㘲攲㕢挶扣攵㔸攱㠱㕥㜵戱敤㌴㠴㕦〳挳づ昶昵㕡㤷㠵摦㠴挱ㅢ㉢攲㤰㜴攳㍥㄰㥢㌴㙦㔸㘲㤳〸昱昴㙥ㄶㄲ敥㜲㍢〸㍤㤹戸ㅤ摤捤慦㜸㡢㕥㔸戱㠲㜵摢攸ㅣㅦ挲㡥㌸㌷㔷㠵㡢〰攰㈳づ摣慢㤳户扥㉥㕡㐳搶㔸昵摡搸挱㕣攵㜱〸㈱搲㠱愱㡤㠴㈲㐳㐶戶戸㌷戸㜵㉦ㄴ晤扡㈲〴㘴戳㉡㕣㐸㜹㌸㌴愲㍤㘹扦㠵敢㍣攰挴挳㕤昹㉦㌰㑣㘲挷ㄸ㐲愰㤲换改ㅦ㐲ㄹ扥愷㄰敤㈴扣㍣㠷〲愷㤴搳ㄲ晥㠶愶㝤㔱搲摡扢摣捤戵㘰㙥㔶搸㘱㐲㕣攰㡤慥收ぢ㜹㙤换捡㡡㑣挰㙥㝡晥㕡挳昳搶㜸㤵ㄸ㜵㔸ぢ㔶㠵〸㜹捤捡㍢搱ㅤ㤱㘵㥣㔳㌲戹攳㍡ㄵ㝢ㅥ㤹㑣㤹㘵㍡㥤㍥㠱㔲㜲搶㙦捡㥡昲㙢ㅣて慦㘱晦戸㝤愳㜱摥晤㐵改㙢ㄷ㙥晦昴敦摦戸昵〹攵㔷㌱攳㌷扦摦㜲摥戹晤摡搵捦㙤慥㝤收捤敡㠹搷㌵愲捦㝤㐵扦㜱㜴ㅣ㌳㝢㥥㔱戳㐲㕢攴㑤㘹晣戲㥣㌵㘱敢挸㝤㕡ㄹ戳戶㡡㕤㔷㐶捣㉢扥搵戲攳㌸扣㍦敡㍡㉦㔶㤰攷㉣㝢㠱挵㜴㜳挴慣昹㠶ㅢ㄰愴摣㘶攷㠹ㅤ㌵〹㑡㥡㌹㘳戹〱愶㤱摥挸昲㤸挹〴ㄶ攸搳㜶摣㉢挶㝡昰㔸㜸〶つ㈶㝡愴㙢㈸慡愲慡㑡㔶捤㍥愴愵㈷搲㈷㈱㉤ㅤ摤慣㔱㔲ㄳ愷㐸㐹㘰愳戰㔲㡤攱攲㉥挱㙣㈰ㄵ攱昲㜰㡢搸捥㐲㤳挳㈰扥㤷扥挹搰晦㍣挷ㄴ㐱㕥扥㜲㝤㙥晢收昴扥㍥攲㘸っ㜰昷㥤ㄳ搱ㄳ㐷㈳慢㘱㥥㐴愸搶愵昲㔹ㅢ戴挴㥣㈹晢搰㈸㐷户㡢戳㐸㡢ぢ收扣搱㄰昶慣攷㍢㐶㌸ㅡ㔵㠸㕣づ㈲㐵捣㐳㙣㜳っ㕡ㄹ㍦㤸〰扢㙣㤱㌵㑢敤搰㕢戰㕣摤〴㤱愶ㄸ㌷ㄹ㕢㘸㌲戶㘴㔳挱扣挶㝢㑥ㄴ㍥㈱换㕢㌱㠰㜸慢㡥搵捣戲挲扢挸㘳㘱㥥㐰㌴㤹昴攳㐰昹㐸ㅢ〵㄰㑦っ〰㜸昴㝤〰敡㉥㈲㑥昲攸愸㝥ㄸ戱慡愴昱愷㍣㘴ㄲ㠹愴㐹㘲㤳㍥〵㘹ㅡ搱㤴㔹㤴㝣敥㜴㍦㑡摥昹㌴㕡愴㘵㉢捦戰〳㝥晡㜴㕣㘰㘵晣ㄸ〸㠷愶改〳愳攵㤹㝡㥦㌱愷㑦愳敤〳㘸㡢戰戳ぢ挱攳捣㌷㌸㐶㝥戲搲捦愲愴㄰攴愵昰ㄷ攲㠲ㄴ㑥愴攷昹攸攷㐸捥㠳㡣愸ち敤㕦㜶扤㠰㐲昷搱戸㠷㝢ㅥㅢ㘵攵㑣ㅥ㘰㌵散搸㌰㕡ㄶ㠹昶㔱㐹摥捤㘵㥢捣㘸昱㈵㉦㌵㤸㑥昶挶㌲㘳捣て㑤㤱挹愱㝥戴㥦〳搹昷ㅣ捦ㅤ㙣㘷攱ㅣ挳㈷晤㈲挸晥〵慢改㝢㠱㘷㠶ㄳ㔵㘰昰〴㉦戳㘶㈲㌱㔵㔲㝥〶㠹㌲㝦㤶㥤㐱㥥挵㐹㡣㔳ㅦ昲㤴㉥愱㌰㤲㔴㜸愰っ㡢改㡦戱㕥戲敤㠹㙥㘰ぢ㜴㌶愵㕦〲㌹㕡㐶愶敦戹昵昶㝡㘸慣㠹㝡戹㝡戵摤愸㙦攰㍢昰愹攲㤶ㅤ㙣㈹㍦㠹挳搲て扦昸愳㙦晤晢昰㥢㤷扦㜲攷㕦摦晥攵㕢㑢㕦㔲㝥ㅣ㌳〶㍦〴㡥㔳㜳㜲ㄹ㌳㥣㌶愹㔰㘷㕣㐶ㄴつ㉢㈸㈵㑢㠱ㄳ㐵挳㜷㘳㈱扢愲攱て㘲挶愱捥㕢ㄳ慦扦昳㥤挵㉦慦㡦㌵てㅦ昹散〹㠵捡敦㐹搳ㄹ㕢㈳㐹㙦敦㈵改晢㌱㘳㌰慥㡥㜷捤㐶攳㜱扤㌸攰㘹㝤搷换㍥㐳㥥ㅣ晣〸㜰ㄹ㤷晡づ㑤㌸㠹㌴㕤㤳㌰㤳㔲㉦㍥㥣慣敥㕤㤸攰慥㝤て慢㝥ㅦ㜲㜶㕡ㄵ㈵ㄲ搸昵〵㄰㠵㙡攱㤶㤵敦㘲づ捥昳ㅡ㉡㐸晢㌴㜲〷㉤㤹慥㌰换つづ㕣㤷昲㜹㥡㙡敤慢ㄷ㑢晦㌹晤扢㔲晥㝦捤㤹戸扦</t>
  </si>
  <si>
    <t>㜸〱捤㔸㑤㡣摢挶ㄵㄶ㈹㤱㈲㈵慤扤昵㕦晣ㄷ㕢㐸つ搴慥㙣㜹㘵㝢敢㥦挲㐸㔶搴晥㈱昶敥摡㔲搶改て㐰㔰攲㜰挵㠸攴㈸㌳搴慥攴ㅥ㡡〲㍤戹攸愹㉤搰ㄶ㍥攵ㄴ〴㐱㉥扤ㄴ㘸て挹㍤挹㌵㐰㡢㈶㉥㝡ち㄰㈰㐱㄰㈴㐰㤰挲㜹㙦㈸慤㈹慤㥣搸㥢つ攰戱㜷㌴㌳㙦收捤㥢㌷敦㝤敦つㄳ㔲㈲㤱戸て〵㝦戱愴戰㜱戴摡攳㈱昱㡢〶昵㍣搲〸㕤ㅡ昰攲っ㘳㔶敦㥡换挳㈴㑣㔰㑤ㄷ攸㕣㌱戹㝢㥢㘸收㍡㘱ㅣ㈶㈹㠹㠴愶改㌲搰㤱〹晥㑤づ㍡㍡慥捡愵愰慡ㄹ攵攵晡㑢挰戵ㅡ㔲㐶㑥攷㔷愳戵㔷㑢愵㘲愹㜸攱㘲改㈷挵愹搳㜹愳攳㠵ㅤ㐶慥〶愴ㄳ㌲换㍢㥤㕦改搴㍤户昱㍣改搵㘸㡢〴㔷㐹㝤敡㝣摤扡㜰愹㜴㘱㝡摡戹㝣昹㔲づ戶㑥慣ㄸ攵〵攲戵㠱摦㑥㜱㔵㠱敢㤲㔱㕥㘱挴搹㈹㥥ち㉡愲㔴㈱つㄷ㌵㐶〸㜳㠳戵愲㔱㠶晦㌱慤㐰敦㘲㜱戹㕡㈵〱㜷㐳㜷摤つ㝢㜸㍥摤㕦㙥搴㔷㉤慦㐳㔴㕦㠸愴昹慢ㄶ㕢戲㝣㌲攱扦挰挹㑤㉢㔸㈳搸㔳晣昹㡥㙢愷攰㈶㤳愷挶㙤搴㔷㔲㜱搹㈸ㅢ㑤㡢㠵㠲㈵㙥㜰㜶摣㙣戱㔳㌱㈶㡡㔸㈳㐶㔱㍤㔲戶㙦㉢㘲㑦㤴㌲㡤㤵〶㤵慡㐳戵㌷戶㌲㉦㤶收㑢㔲敡㜳戰戸昸挲㉣捣㤴㑤㑢㌶敢戲搹㤰㑤㕢㌶㠹㙣㍡戲戹㈶㥢㑤搹㜴㘵昳㈵搹㙣挱㥣㐱搱搲㘹戹㕦ち慦扥昹㤹搲㥤扤晥愷摦慦晣晣摥㜳㘷晥㤷㐳㕥㑢㜰戶攲ㄲ〹㜷挸㄰ㄴ㍣搳愳敢㌲〷戳ㄵ㍦扡㡡ち攱つㅤ敦㘹㌱戰㐹㔷㠵ㄶ摣㕦捥㌷㘸㄰㤲㙥㔸戱㐲㉢敤慦㔸㡣〴愱づ㤳ち㘲㔵搴挲㤵ㄳ㘲㙣戰㍡搳敦〱㠷㐹搱㡣㜱挹㡡㠱㠸㤳〴慥㤷㑣㐵戵愶㡥㜳收〵㡢㌷㐳慢敥㤱ㄳ㈳㔷㡥㝡〳㉢㝢㈱㜴㍤㕥〴㤶昳㡣㜶摡愸搱㥤攲㈳っㄹつ㐳㥤㠰㑡㐰て晥挲〶捦改扢攰㈷愳㈳㔱㐷㈲挲ㄲ晣㐰ㄹ搰㜲㝢愰〳㈲㔶愸㙦戹挱づ㕤㙥㙥㉦㌰扤搱户攲ち戳㌶挰㈳ㅦ戰㍥㔷㥣挲㝦摦づ㐹㠰㐸捥戴㜳搱㈹㤵散改㈹敢扣愵愰ぢ㍣慥㐷敤㠳㌵㌹晦㤶ㅢ搸㜴㐳戸搸ㅥㅦ晣㐷戸㑤慤搷㈶㘲㈸攷搴㉣戶㐶挰㙤搹㘲㘵㥦㘳㔰挶㠸㘷㠵挴ㄶ〳㠸搰㑦つて昲㌹㐶㝤ㅣ㍦㕡戶㌸㜹攰扥〵㈷摡愸㑣㍢㠱捤㡦㡣㈷㔶㐳㘰㝤㜸㤴昶㠰挹㤶㘵㔵㠰㌴挲㠵愴挷㐶㤷〹攳㥦改扡ㄱ昹改ㄱ㌲㠰ㅡ慤㍦㥣㍡挷挸换㥢搴㉤ㄲ捤㐰㤸㕡㈷㐸摦㜲捡㠸ㄴ挹〵㄰㐴㌹〹㠴㜸〵㝦挵㙤戴〸慢ㄲっ㜲挴ㄶ㐷摤㡦㈴〲晥搸㈰扣戰㡣慡〷㔴戵㥦㠹㡦㍡戳摤㤰㠰㌷摢㈰㉦㐴㥢戰㔷㐳㑦㍡㌰㌴㈵摡ㄳ〸㠷㠶㠶攷㘸愳挳搱㙢ㄹ昵㠶㈹㌳昶扡〵㝢摡搷愹㑤㔲㈹㌹㤹㐸㈵㔲㔸㈰㡣㈶㤳攰捡㔳㈳㡥㉡㐲〶昲收㜱㙣㡥㔹づ㠲昳昹㐷㕡㌴㙣㕥戸㙥ㅣ㘴㙣挶㝦改攰戰慦ㄴ㙦㠲昶㐰㑢ㅥ㐱㐷㤲㐷ㄱ㈵㈶攸〳慢挱㑤挶攲㘹㜴愲㤸捥搰㙥㜱昶挹㠷ㅦ㐵戰摤戴㡣敦㜷戲㉣敦敤㥦㝥㜶ㅤ㌰㝢挱ち㙣㡦戰㙦搶ㄷ㑡愴愳㘷敢晢戱㍡〰㔵㈶愱㝣〸攸昶㔰㑤㘲愲㈴㜵愵㥥戲攱摡㘱㔳㙤ㄲ㜷慤ㄹ挲ㄸ攴㔷㥡㠶㙡㉥㝣㜹晦晥㌹昸捤挰捣㕦㘳㑡愱ㅦ挴敡㄰づ㘵㌲ㄱ㝥慡ㄹ晤〸昴搵愳㔸㐵㤶㤱㤱㔲〸戲攳攴摤っ〹ㄸ敢㌲搷愸㘵捦㔹つ㐸搱搲晤〴㑤㌳愸摦㠶㐰挵㈶㜱愶〱㘶ち收扦敥摡㠴㘹㌸㔰㠵㐴㌰〵昹ㄹ㔷㠵㤳㜳㠸㐰挹㠴愲㘴戵㜱㝢㉤づ㜸㥤攸㉢㌳㥥㘸㉥㙥攱晦搱㡤㑢捦㘲㈲㤹挹㠸㤳㍥つ㑤晤ㄸ㔴ち㉡昵戱ㅤ㘳㌷㉣㍡攰㔷㥢㜴㘳〱戴㑡㜸㤴晦㜰㠳戹攱㔳㕢㠷㈱愲㕡晥㈱㌱㍥捦〸㘰㈱慢〱㈴㠸㌳攲㡡挳㘳㈹㘲搱㘱㘱㤷㌱㡦㉣㌸慢㉥搹㐰ㅣ㍦扥㤵〴〹㥣搱攱㈱ㄵ〹挰戱慤昴ち㕤愲㘱挵攵㙤捦敡㥤ㄸ㐳㡥㈸户㥡㈴〰ㄸ㘳㠰㘶摦㌶㠹戶摢挴ㅥ㈳㘳㤵㜶㔸㠳㉣㔶㥥〴㈰㠴㥢㡡㡡㈴㌰㔰搲㈴㔵㤶愰㙣捦〷㈵昴㡥挴慦昶扤㌱晦摦摢扦㝤㌶つ挸㉡㘵㌲晡㜱ㄸ〳㡦㔱搰㌷户㠳㤷㤸慥㑣っ㐵改晤㤸㡤㕦㠷ㄷ㡣摢昶㐸搹㘲㘰摣㤴㜱摤ㅦ㌴㈳攳㡢攵挵㤱挷㍣〹ち㠷愰ㄳ㠵㥢攲挳攱㌶㈶戸戰㐳㌴㘸㠴㌸㘹摦㐸㕣㄰攷㐶戰摡收㝤㈹昷〰㈲ㅦ㔳㄰㝣㜴愶搷㌱挷㌶㑤挸㔹愱㠷㐵㔲㍥〰㔶㘳攵㐳愴㑤〵昸㙡ㄲ慢㌲慤㠰㙥〴㐲㜲㠵㘳敡㠳っ昵㜴ㅡ㡦㤱㠱㍦㔱愶㈳搳㐱慢㐱㌰㉦㡣搳㔵㤴愲㙥㍥敢ㄶ㙤㠸ㄶ晤㜷㕣づ摦㜱㌵㐶挴㘳㑤ㄳㅤ㔰攱㠴㝦㡢戲㔶㥤搲ㄶ㍥ㅣ㜶㠹ㅥ㙦ㄲㄲ攲挳㉡敢㐷慦㐳㙣㠳晤㈷㤳㐳㡦愷扥摥㤱㠸〹戲㐸㥥搵ㅦ㐲㉢㌹挷ㅡ愲㈷晤ㅢ捥㡦㡦慥㑦敦慣搶㉦〵㙦捦晣昵昲㥤户㍥㝥攵㤷扦㤰晥搵㈷扣昷㝥搷晦晢㥤ㄷㄷ㝥户搱晡捤摤敡挹㥦㈹ㄸ㑦ㅥ㈹㤶㑦挲挴摤捥㈶㝥搵摣搰㈳㔹㈷㌲つ㙣㙢づ㈰ㄲ攴㔹㜶摡愹㌵攱搴㤵〹㘷㥥戹戶攷〶〴㑤〷㌲㔸㝣㠴㕥㈳㙢㤰㔳慤㔰㝣昰搲㘰挲愹㌱㉢攰ㄸ㙦㠲㐶㙦捦㔰㑦㜸㡢攲㤴摤㠰挳㌶〲㌳戱扤摢㐱㐸㠷㥢敢昸挱扣搵收㑦㠲㍢㠹㙦㈰愰ㅥ㈸ㄱ㠰挹㤲㉣㑢㥡慣㙤搳㈳ㄲ敡㡦㠰搵搹㤸〷㕥挹捦〶昶ㄹ敡㥣昱㕣㠷攴つ㡢搵㘹㤰敦戴㐳慢㐵昲㈷㕢㙢㜹㘳昹摣㈹㐸捡㘴㠱㝤㌲㘶っ㤸ㅦ㠰攱㈲ㄶ㍥㝡〶㠶㕥㤰ㄳㅦㅤ晡愹㜱㜲㕣㔸摦㑣ㄱ㐵挶㜳ㄲ搶㐸㤸㠰〸ㄷ〲㈹㐴〳㍢㤳ㄸ挱㌱愰慢㍦㠶㙡㤷㔱㌶㘳〹㥦㕡㠰戱ㅦ挰㔸㘴昱〳挷㤹挴㠰㡦㙢挴愷〵晤っ戴㈴㠴㙥挱扣〸㡤㐱㤱挴扥搰搳攳愳㤳戸㍦晡扡㝥ㄶ慡㠹愴㠴っ搰㜹搵㈹散捦㜸㕥㝥攰㝥㕣挷㈱戵〴搵戱㐸愱㘶愴㔰搳愸㉥㜴敡收㍡㝣愷㍡㔷散㝡扣㉢扤摢㜷㥥㝦晣攱㥦慦㝤㜵攴敥散㥦㍦昹攲昵㜷晥戶晣㐷改㥤㍥㘱昴攳挴攴㐰㈶〵挵昸改㌸攰搸㤲〱ㄷ㐶㥦ㅢ戳昰㝣攸愱㉡㤲㤰㙦㈹挲ㅤ㔲昲㤵敤昱ㅡ㠰㌷摥㤸昲㌶㐸晤ㅤ昸攰㔵っ㘳㉦㕥㤰㍥㡤慣戱ㅡ挵㕦㑣ㄹ攷昰ㅣ㈳㔹㙥㌶㡢㘸㕢晢换㤵㤹晦㥦晦捦㑣昶㙢㤵ㄷ㠶㐲</t>
  </si>
  <si>
    <t>Top base diameter (m)</t>
  </si>
  <si>
    <t>Bottom base diameter (m)</t>
  </si>
  <si>
    <r>
      <t>Total Carbon uptake (kg CO</t>
    </r>
    <r>
      <rPr>
        <b/>
        <vertAlign val="subscript"/>
        <sz val="14"/>
        <color theme="1"/>
        <rFont val="Arial Black"/>
        <family val="2"/>
      </rPr>
      <t>2</t>
    </r>
    <r>
      <rPr>
        <b/>
        <sz val="14"/>
        <color theme="1"/>
        <rFont val="Arial Black"/>
        <family val="2"/>
      </rPr>
      <t>)</t>
    </r>
  </si>
  <si>
    <t>Table 1- Chemical composition and Use phase uptake calculation</t>
  </si>
  <si>
    <t>Table 2 - k factor (mm/yr^0.5)</t>
  </si>
  <si>
    <t>Table 3 - Correction factors</t>
  </si>
  <si>
    <t>Table 4 - exposure condition and corresponding k factors based on the specified inputs</t>
  </si>
  <si>
    <t>Table 6 - End of life uptake caluclation and geometry</t>
  </si>
  <si>
    <t>Maximum possible uptake (kg)</t>
  </si>
  <si>
    <t>Table 7-Height</t>
  </si>
  <si>
    <t>Table 8- Geometry calculation</t>
  </si>
  <si>
    <r>
      <t>L = h/tag(</t>
    </r>
    <r>
      <rPr>
        <sz val="11"/>
        <color theme="1"/>
        <rFont val="Calibri"/>
        <family val="2"/>
      </rPr>
      <t>θ)</t>
    </r>
  </si>
  <si>
    <t>r1</t>
  </si>
  <si>
    <t>r2</t>
  </si>
  <si>
    <t>Concrete volume (m3)</t>
  </si>
  <si>
    <t>Max practical EOL uptake</t>
  </si>
  <si>
    <t>Fraction of concrete remained after crushing</t>
  </si>
  <si>
    <t>Table 5 - Estimation of end-of-life uptake rate</t>
  </si>
  <si>
    <t>Concrete density (apparent)</t>
  </si>
  <si>
    <t>Slope (degrees)</t>
  </si>
  <si>
    <t>Table 9 - Slope</t>
  </si>
  <si>
    <r>
      <t xml:space="preserve">Slope - </t>
    </r>
    <r>
      <rPr>
        <b/>
        <sz val="11"/>
        <color theme="1"/>
        <rFont val="Calibri"/>
        <family val="2"/>
      </rPr>
      <t>θ</t>
    </r>
    <r>
      <rPr>
        <b/>
        <sz val="7.7"/>
        <color theme="1"/>
        <rFont val="Arial Black"/>
        <family val="2"/>
      </rPr>
      <t xml:space="preserve"> </t>
    </r>
    <r>
      <rPr>
        <b/>
        <sz val="11"/>
        <color theme="1"/>
        <rFont val="Arial Black"/>
        <family val="2"/>
      </rPr>
      <t>(degrees)</t>
    </r>
  </si>
  <si>
    <t>2. Geometric and locational characteristics</t>
  </si>
  <si>
    <t>1. General</t>
  </si>
  <si>
    <t>3. Mix design characteristics</t>
  </si>
  <si>
    <t>End-of-life Carbon Uptake*</t>
  </si>
  <si>
    <t>UnCarbonated volume</t>
  </si>
  <si>
    <t>Sheltered from rain?</t>
  </si>
  <si>
    <t>Table 10 - Stockpile sheltered?</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</si>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</sst>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0000000000"/>
  </numFmts>
  <fonts count="15" x14ac:knownFonts="1">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8"/>
      <name val="Calibri"/>
      <family val="2"/>
      <scheme val="minor"/>
    </font>
    <font>
      <sz val="11"/>
      <color theme="1"/>
      <name val="Arial Black"/>
      <family val="2"/>
    </font>
    <font>
      <b/>
      <sz val="11"/>
      <color theme="1"/>
      <name val="Arial Black"/>
      <family val="2"/>
    </font>
    <font>
      <b/>
      <sz val="16"/>
      <color theme="1"/>
      <name val="Calibri"/>
      <family val="2"/>
      <scheme val="minor"/>
    </font>
    <font>
      <sz val="16"/>
      <color theme="1"/>
      <name val="Calibri"/>
      <family val="2"/>
      <scheme val="minor"/>
    </font>
    <font>
      <u/>
      <sz val="11"/>
      <color theme="10"/>
      <name val="Calibri"/>
      <family val="2"/>
      <scheme val="minor"/>
    </font>
    <font>
      <b/>
      <sz val="11"/>
      <color theme="1"/>
      <name val="Calibri"/>
      <family val="2"/>
      <scheme val="minor"/>
    </font>
    <font>
      <b/>
      <sz val="14"/>
      <color theme="1"/>
      <name val="Arial Black"/>
      <family val="2"/>
    </font>
    <font>
      <b/>
      <vertAlign val="subscript"/>
      <sz val="14"/>
      <color theme="1"/>
      <name val="Arial Black"/>
      <family val="2"/>
    </font>
    <font>
      <b/>
      <sz val="11"/>
      <color theme="1"/>
      <name val="Calibri"/>
      <family val="2"/>
    </font>
    <font>
      <b/>
      <sz val="7.7"/>
      <color theme="1"/>
      <name val="Arial Black"/>
      <family val="2"/>
    </font>
  </fonts>
  <fills count="6">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theme="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s>
  <cellStyleXfs count="3">
    <xf numFmtId="0" fontId="0" fillId="0" borderId="0"/>
    <xf numFmtId="9" fontId="3" fillId="0" borderId="0" applyFont="0" applyFill="0" applyBorder="0" applyAlignment="0" applyProtection="0"/>
    <xf numFmtId="0" fontId="9" fillId="0" borderId="0" applyNumberFormat="0" applyFill="0" applyBorder="0" applyAlignment="0" applyProtection="0"/>
  </cellStyleXfs>
  <cellXfs count="48">
    <xf numFmtId="0" fontId="0" fillId="0" borderId="0" xfId="0"/>
    <xf numFmtId="0" fontId="5" fillId="0" borderId="0" xfId="0" applyFont="1"/>
    <xf numFmtId="0" fontId="5" fillId="0" borderId="0" xfId="0" applyFont="1" applyAlignment="1">
      <alignment horizontal="left"/>
    </xf>
    <xf numFmtId="0" fontId="0" fillId="0" borderId="1" xfId="0" applyBorder="1"/>
    <xf numFmtId="0" fontId="2" fillId="0" borderId="1" xfId="0" applyFont="1" applyBorder="1"/>
    <xf numFmtId="0" fontId="0" fillId="0" borderId="1" xfId="0" applyFill="1" applyBorder="1"/>
    <xf numFmtId="9" fontId="2" fillId="0" borderId="1" xfId="1" applyFont="1" applyBorder="1"/>
    <xf numFmtId="9" fontId="0" fillId="0" borderId="1" xfId="1" applyFont="1" applyBorder="1"/>
    <xf numFmtId="2" fontId="0" fillId="0" borderId="1" xfId="0" applyNumberFormat="1" applyBorder="1"/>
    <xf numFmtId="164" fontId="0" fillId="0" borderId="1" xfId="0" applyNumberFormat="1" applyBorder="1"/>
    <xf numFmtId="165" fontId="0" fillId="0" borderId="0" xfId="0" applyNumberFormat="1"/>
    <xf numFmtId="0" fontId="1" fillId="0" borderId="1" xfId="0" applyFont="1" applyBorder="1"/>
    <xf numFmtId="0" fontId="0" fillId="0" borderId="1" xfId="0" applyBorder="1" applyAlignment="1">
      <alignment horizontal="left" vertical="center"/>
    </xf>
    <xf numFmtId="9" fontId="0" fillId="0" borderId="1" xfId="1"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wrapText="1"/>
    </xf>
    <xf numFmtId="0" fontId="6" fillId="0" borderId="0" xfId="0" applyFont="1"/>
    <xf numFmtId="0" fontId="8" fillId="0" borderId="0" xfId="0" applyFont="1" applyAlignment="1"/>
    <xf numFmtId="0" fontId="9" fillId="0" borderId="0" xfId="2"/>
    <xf numFmtId="0" fontId="6" fillId="2" borderId="0" xfId="0" applyFont="1" applyFill="1" applyAlignment="1">
      <alignment horizontal="left"/>
    </xf>
    <xf numFmtId="1" fontId="6" fillId="3" borderId="2" xfId="0" applyNumberFormat="1" applyFont="1" applyFill="1" applyBorder="1" applyAlignment="1">
      <alignment horizontal="left"/>
    </xf>
    <xf numFmtId="0" fontId="0" fillId="0" borderId="3" xfId="0" applyFill="1" applyBorder="1"/>
    <xf numFmtId="0" fontId="6" fillId="0" borderId="0" xfId="0" applyFont="1" applyAlignment="1">
      <alignment horizontal="left"/>
    </xf>
    <xf numFmtId="0" fontId="10" fillId="0" borderId="0" xfId="0" applyFont="1"/>
    <xf numFmtId="0" fontId="0" fillId="0" borderId="0" xfId="0" quotePrefix="1"/>
    <xf numFmtId="0" fontId="11" fillId="4" borderId="1" xfId="0" applyFont="1" applyFill="1" applyBorder="1"/>
    <xf numFmtId="1" fontId="11" fillId="4" borderId="1" xfId="0" applyNumberFormat="1" applyFont="1" applyFill="1" applyBorder="1"/>
    <xf numFmtId="2" fontId="0" fillId="0" borderId="4" xfId="0" applyNumberFormat="1" applyBorder="1"/>
    <xf numFmtId="166" fontId="0" fillId="0" borderId="0" xfId="0" applyNumberFormat="1"/>
    <xf numFmtId="0" fontId="0" fillId="0" borderId="10" xfId="0" applyBorder="1"/>
    <xf numFmtId="1" fontId="6" fillId="2" borderId="0" xfId="0" applyNumberFormat="1" applyFont="1" applyFill="1" applyAlignment="1">
      <alignment horizontal="left"/>
    </xf>
    <xf numFmtId="0" fontId="6" fillId="2" borderId="0" xfId="0" applyFont="1" applyFill="1" applyBorder="1" applyAlignment="1">
      <alignment horizontal="left"/>
    </xf>
    <xf numFmtId="0" fontId="6" fillId="3" borderId="0" xfId="0" applyFont="1" applyFill="1" applyAlignment="1">
      <alignment horizontal="left"/>
    </xf>
    <xf numFmtId="0" fontId="6" fillId="2" borderId="12" xfId="0" applyFont="1" applyFill="1" applyBorder="1" applyAlignment="1">
      <alignment horizontal="left"/>
    </xf>
    <xf numFmtId="0" fontId="5" fillId="0" borderId="11" xfId="0" applyFont="1" applyBorder="1" applyAlignment="1">
      <alignment horizontal="left" indent="1"/>
    </xf>
    <xf numFmtId="0" fontId="5" fillId="0" borderId="0" xfId="0" applyFont="1" applyAlignment="1">
      <alignment horizontal="left" indent="1"/>
    </xf>
    <xf numFmtId="0" fontId="10" fillId="5" borderId="0" xfId="0" applyFont="1" applyFill="1"/>
    <xf numFmtId="0" fontId="0" fillId="5" borderId="0" xfId="0" applyFill="1"/>
    <xf numFmtId="0" fontId="11" fillId="5" borderId="0" xfId="0" applyFont="1" applyFill="1"/>
    <xf numFmtId="164" fontId="6" fillId="3" borderId="0" xfId="0" applyNumberFormat="1" applyFont="1" applyFill="1" applyAlignment="1">
      <alignment horizontal="left"/>
    </xf>
    <xf numFmtId="0" fontId="7" fillId="0" borderId="0" xfId="0" applyFont="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 xfId="0" applyFill="1" applyBorder="1" applyAlignment="1">
      <alignment horizontal="left"/>
    </xf>
  </cellXfs>
  <cellStyles count="3">
    <cellStyle name="Hyperlink" xfId="2" builtinId="8"/>
    <cellStyle name="Normal" xfId="0" builtinId="0"/>
    <cellStyle name="Percent" xfId="1" builtinId="5"/>
  </cellStyles>
  <dxfs count="8">
    <dxf>
      <font>
        <b/>
        <strike val="0"/>
        <outline val="0"/>
        <shadow val="0"/>
        <u val="none"/>
        <vertAlign val="baseline"/>
        <sz val="11"/>
        <color theme="1"/>
        <name val="Arial Black"/>
        <family val="2"/>
        <scheme val="none"/>
      </font>
      <alignment horizontal="left" vertical="bottom" textRotation="0" wrapText="0" indent="0" justifyLastLine="0" shrinkToFit="0" readingOrder="0"/>
    </dxf>
    <dxf>
      <font>
        <b/>
        <strike val="0"/>
        <outline val="0"/>
        <shadow val="0"/>
        <u val="none"/>
        <vertAlign val="baseline"/>
        <sz val="11"/>
        <color theme="1"/>
        <name val="Arial Black"/>
        <family val="2"/>
        <scheme val="none"/>
      </font>
    </dxf>
    <dxf>
      <font>
        <b/>
        <strike val="0"/>
        <outline val="0"/>
        <shadow val="0"/>
        <u val="none"/>
        <vertAlign val="baseline"/>
        <sz val="11"/>
        <color theme="1"/>
        <name val="Arial Black"/>
        <family val="2"/>
        <scheme val="none"/>
      </font>
    </dxf>
    <dxf>
      <font>
        <b/>
        <strike val="0"/>
        <outline val="0"/>
        <shadow val="0"/>
        <u val="none"/>
        <vertAlign val="baseline"/>
        <sz val="11"/>
        <color theme="1"/>
        <name val="Arial Black"/>
        <family val="2"/>
        <scheme val="none"/>
      </font>
    </dxf>
    <dxf>
      <font>
        <b/>
        <strike val="0"/>
        <outline val="0"/>
        <shadow val="0"/>
        <u val="none"/>
        <vertAlign val="baseline"/>
        <sz val="11"/>
        <color theme="1"/>
        <name val="Arial Black"/>
        <family val="2"/>
        <scheme val="none"/>
      </font>
      <fill>
        <patternFill patternType="solid">
          <fgColor indexed="64"/>
          <bgColor theme="7" tint="0.79998168889431442"/>
        </patternFill>
      </fill>
      <alignment horizontal="left" vertical="bottom" textRotation="0" wrapText="0" indent="0" justifyLastLine="0" shrinkToFit="0" readingOrder="0"/>
    </dxf>
    <dxf>
      <font>
        <strike val="0"/>
        <outline val="0"/>
        <shadow val="0"/>
        <u val="none"/>
        <vertAlign val="baseline"/>
        <sz val="11"/>
        <color theme="1"/>
        <name val="Arial Black"/>
        <family val="2"/>
        <scheme val="none"/>
      </font>
    </dxf>
    <dxf>
      <font>
        <strike val="0"/>
        <outline val="0"/>
        <shadow val="0"/>
        <u val="none"/>
        <vertAlign val="baseline"/>
        <sz val="11"/>
        <color theme="1"/>
        <name val="Arial Black"/>
        <family val="2"/>
        <scheme val="none"/>
      </font>
    </dxf>
    <dxf>
      <font>
        <strike val="0"/>
        <outline val="0"/>
        <shadow val="0"/>
        <u val="none"/>
        <vertAlign val="baseline"/>
        <sz val="11"/>
        <color theme="1"/>
        <name val="Arial Blac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55631159031374"/>
          <c:y val="6.7629952630423193E-2"/>
          <c:w val="0.82333328475827716"/>
          <c:h val="0.54687184649863974"/>
        </c:manualLayout>
      </c:layout>
      <c:barChart>
        <c:barDir val="col"/>
        <c:grouping val="clustered"/>
        <c:varyColors val="0"/>
        <c:ser>
          <c:idx val="0"/>
          <c:order val="0"/>
          <c:tx>
            <c:strRef>
              <c:f>Calcul!$G$23</c:f>
              <c:strCache>
                <c:ptCount val="1"/>
                <c:pt idx="0">
                  <c:v>Cumulative Use Uptake</c:v>
                </c:pt>
              </c:strCache>
            </c:strRef>
          </c:tx>
          <c:spPr>
            <a:solidFill>
              <a:schemeClr val="accent1"/>
            </a:solidFill>
            <a:ln>
              <a:noFill/>
            </a:ln>
            <a:effectLst/>
          </c:spPr>
          <c:invertIfNegative val="0"/>
          <c:val>
            <c:numRef>
              <c:f>Calcul!$G$24:$G$223</c:f>
              <c:numCache>
                <c:formatCode>0.0000</c:formatCode>
                <c:ptCount val="2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numCache>
            </c:numRef>
          </c:val>
          <c:extLst>
            <c:ext xmlns:c16="http://schemas.microsoft.com/office/drawing/2014/chart" uri="{C3380CC4-5D6E-409C-BE32-E72D297353CC}">
              <c16:uniqueId val="{00000000-6457-436B-BE53-289047967721}"/>
            </c:ext>
          </c:extLst>
        </c:ser>
        <c:ser>
          <c:idx val="1"/>
          <c:order val="1"/>
          <c:tx>
            <c:strRef>
              <c:f>Calcul!$H$23</c:f>
              <c:strCache>
                <c:ptCount val="1"/>
                <c:pt idx="0">
                  <c:v>Cumulative End of Life Uptake</c:v>
                </c:pt>
              </c:strCache>
            </c:strRef>
          </c:tx>
          <c:spPr>
            <a:solidFill>
              <a:schemeClr val="accent2"/>
            </a:solidFill>
            <a:ln>
              <a:noFill/>
            </a:ln>
            <a:effectLst/>
          </c:spPr>
          <c:invertIfNegative val="0"/>
          <c:val>
            <c:numRef>
              <c:f>Calcul!$H$24:$H$223</c:f>
              <c:numCache>
                <c:formatCode>General</c:formatCode>
                <c:ptCount val="2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223.00298699744528</c:v>
                </c:pt>
                <c:pt idx="101">
                  <c:v>315.37384866149807</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numCache>
            </c:numRef>
          </c:val>
          <c:extLst>
            <c:ext xmlns:c16="http://schemas.microsoft.com/office/drawing/2014/chart" uri="{C3380CC4-5D6E-409C-BE32-E72D297353CC}">
              <c16:uniqueId val="{00000001-6457-436B-BE53-289047967721}"/>
            </c:ext>
          </c:extLst>
        </c:ser>
        <c:dLbls>
          <c:showLegendKey val="0"/>
          <c:showVal val="0"/>
          <c:showCatName val="0"/>
          <c:showSerName val="0"/>
          <c:showPercent val="0"/>
          <c:showBubbleSize val="0"/>
        </c:dLbls>
        <c:gapWidth val="150"/>
        <c:axId val="685495376"/>
        <c:axId val="685505872"/>
      </c:barChart>
      <c:catAx>
        <c:axId val="685495376"/>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Year</a:t>
                </a:r>
              </a:p>
            </c:rich>
          </c:tx>
          <c:layout>
            <c:manualLayout>
              <c:xMode val="edge"/>
              <c:yMode val="edge"/>
              <c:x val="0.52580267875715658"/>
              <c:y val="0.7427912606814558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85505872"/>
        <c:crosses val="autoZero"/>
        <c:auto val="1"/>
        <c:lblAlgn val="ctr"/>
        <c:lblOffset val="100"/>
        <c:noMultiLvlLbl val="0"/>
      </c:catAx>
      <c:valAx>
        <c:axId val="685505872"/>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Carbon uptake (kg CO</a:t>
                </a:r>
                <a:r>
                  <a:rPr lang="en-US" baseline="-25000"/>
                  <a:t>2</a:t>
                </a:r>
                <a:r>
                  <a:rPr lang="en-US"/>
                  <a:t>)</a:t>
                </a:r>
              </a:p>
            </c:rich>
          </c:tx>
          <c:layout>
            <c:manualLayout>
              <c:xMode val="edge"/>
              <c:yMode val="edge"/>
              <c:x val="3.3943522814930321E-2"/>
              <c:y val="1.4509102696824257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85495376"/>
        <c:crosses val="autoZero"/>
        <c:crossBetween val="between"/>
      </c:valAx>
      <c:spPr>
        <a:noFill/>
        <a:ln>
          <a:noFill/>
        </a:ln>
        <a:effectLst/>
      </c:spPr>
    </c:plotArea>
    <c:legend>
      <c:legendPos val="b"/>
      <c:layout>
        <c:manualLayout>
          <c:xMode val="edge"/>
          <c:yMode val="edge"/>
          <c:x val="7.5945573829224247E-2"/>
          <c:y val="0.86046285310226633"/>
          <c:w val="0.89510887941993933"/>
          <c:h val="0.1395371468977336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371432</xdr:colOff>
      <xdr:row>48</xdr:row>
      <xdr:rowOff>60161</xdr:rowOff>
    </xdr:from>
    <xdr:to>
      <xdr:col>5</xdr:col>
      <xdr:colOff>105147</xdr:colOff>
      <xdr:row>63</xdr:row>
      <xdr:rowOff>9603</xdr:rowOff>
    </xdr:to>
    <xdr:graphicFrame macro="">
      <xdr:nvGraphicFramePr>
        <xdr:cNvPr id="2" name="Chart 1">
          <a:extLst>
            <a:ext uri="{FF2B5EF4-FFF2-40B4-BE49-F238E27FC236}">
              <a16:creationId xmlns:a16="http://schemas.microsoft.com/office/drawing/2014/main" id="{04C86D93-783C-4A9F-BA60-BA31A60ED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493258</xdr:colOff>
      <xdr:row>0</xdr:row>
      <xdr:rowOff>140833</xdr:rowOff>
    </xdr:from>
    <xdr:to>
      <xdr:col>15</xdr:col>
      <xdr:colOff>589869</xdr:colOff>
      <xdr:row>12</xdr:row>
      <xdr:rowOff>95863</xdr:rowOff>
    </xdr:to>
    <xdr:grpSp>
      <xdr:nvGrpSpPr>
        <xdr:cNvPr id="16" name="Group 15">
          <a:extLst>
            <a:ext uri="{FF2B5EF4-FFF2-40B4-BE49-F238E27FC236}">
              <a16:creationId xmlns:a16="http://schemas.microsoft.com/office/drawing/2014/main" id="{DEE62278-C5EE-4EA8-870D-FDB40FE64709}"/>
            </a:ext>
          </a:extLst>
        </xdr:cNvPr>
        <xdr:cNvGrpSpPr/>
      </xdr:nvGrpSpPr>
      <xdr:grpSpPr>
        <a:xfrm>
          <a:off x="16562493" y="140833"/>
          <a:ext cx="5946082" cy="2734089"/>
          <a:chOff x="15342734" y="0"/>
          <a:chExt cx="5984421" cy="2620187"/>
        </a:xfrm>
      </xdr:grpSpPr>
      <xdr:grpSp>
        <xdr:nvGrpSpPr>
          <xdr:cNvPr id="14" name="Group 13">
            <a:extLst>
              <a:ext uri="{FF2B5EF4-FFF2-40B4-BE49-F238E27FC236}">
                <a16:creationId xmlns:a16="http://schemas.microsoft.com/office/drawing/2014/main" id="{7A28B79B-ACE9-434E-A24B-71EE182B51E8}"/>
              </a:ext>
            </a:extLst>
          </xdr:cNvPr>
          <xdr:cNvGrpSpPr/>
        </xdr:nvGrpSpPr>
        <xdr:grpSpPr>
          <a:xfrm>
            <a:off x="15342734" y="377598"/>
            <a:ext cx="5984421" cy="2242589"/>
            <a:chOff x="14644008" y="159884"/>
            <a:chExt cx="5984421" cy="2237783"/>
          </a:xfrm>
        </xdr:grpSpPr>
        <xdr:sp macro="" textlink="">
          <xdr:nvSpPr>
            <xdr:cNvPr id="3" name="Trapezoid 2">
              <a:extLst>
                <a:ext uri="{FF2B5EF4-FFF2-40B4-BE49-F238E27FC236}">
                  <a16:creationId xmlns:a16="http://schemas.microsoft.com/office/drawing/2014/main" id="{F9E0ECBD-4B82-4E2B-839D-28444AB03BF8}"/>
                </a:ext>
              </a:extLst>
            </xdr:cNvPr>
            <xdr:cNvSpPr/>
          </xdr:nvSpPr>
          <xdr:spPr>
            <a:xfrm>
              <a:off x="14671702" y="217714"/>
              <a:ext cx="5907060" cy="1719262"/>
            </a:xfrm>
            <a:prstGeom prst="trapezoid">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xnSp macro="">
          <xdr:nvCxnSpPr>
            <xdr:cNvPr id="5" name="Straight Arrow Connector 4">
              <a:extLst>
                <a:ext uri="{FF2B5EF4-FFF2-40B4-BE49-F238E27FC236}">
                  <a16:creationId xmlns:a16="http://schemas.microsoft.com/office/drawing/2014/main" id="{2A1B8BD2-1CDD-4E4E-8D10-C1C652E6C0C2}"/>
                </a:ext>
              </a:extLst>
            </xdr:cNvPr>
            <xdr:cNvCxnSpPr/>
          </xdr:nvCxnSpPr>
          <xdr:spPr>
            <a:xfrm flipH="1">
              <a:off x="15267214" y="217714"/>
              <a:ext cx="18369" cy="1673679"/>
            </a:xfrm>
            <a:prstGeom prst="straightConnector1">
              <a:avLst/>
            </a:prstGeom>
            <a:ln w="38100">
              <a:headEnd type="triangle"/>
              <a:tailEnd type="triangle"/>
            </a:ln>
          </xdr:spPr>
          <xdr:style>
            <a:lnRef idx="3">
              <a:schemeClr val="dk1"/>
            </a:lnRef>
            <a:fillRef idx="0">
              <a:schemeClr val="dk1"/>
            </a:fillRef>
            <a:effectRef idx="2">
              <a:schemeClr val="dk1"/>
            </a:effectRef>
            <a:fontRef idx="minor">
              <a:schemeClr val="tx1"/>
            </a:fontRef>
          </xdr:style>
        </xdr:cxnSp>
        <xdr:sp macro="" textlink="">
          <xdr:nvSpPr>
            <xdr:cNvPr id="6" name="TextBox 5">
              <a:extLst>
                <a:ext uri="{FF2B5EF4-FFF2-40B4-BE49-F238E27FC236}">
                  <a16:creationId xmlns:a16="http://schemas.microsoft.com/office/drawing/2014/main" id="{D1D3F3E5-76CD-4800-9DFF-E3524D488859}"/>
                </a:ext>
              </a:extLst>
            </xdr:cNvPr>
            <xdr:cNvSpPr txBox="1"/>
          </xdr:nvSpPr>
          <xdr:spPr>
            <a:xfrm rot="16200000">
              <a:off x="14776580" y="878344"/>
              <a:ext cx="15163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Stockpile height</a:t>
              </a:r>
            </a:p>
          </xdr:txBody>
        </xdr:sp>
        <xdr:cxnSp macro="">
          <xdr:nvCxnSpPr>
            <xdr:cNvPr id="7" name="Straight Arrow Connector 6">
              <a:extLst>
                <a:ext uri="{FF2B5EF4-FFF2-40B4-BE49-F238E27FC236}">
                  <a16:creationId xmlns:a16="http://schemas.microsoft.com/office/drawing/2014/main" id="{54D6A12E-D7AA-48EC-8D2A-58CC2D3C2467}"/>
                </a:ext>
              </a:extLst>
            </xdr:cNvPr>
            <xdr:cNvCxnSpPr/>
          </xdr:nvCxnSpPr>
          <xdr:spPr>
            <a:xfrm flipH="1" flipV="1">
              <a:off x="14644008" y="1994126"/>
              <a:ext cx="5984421" cy="19731"/>
            </a:xfrm>
            <a:prstGeom prst="straightConnector1">
              <a:avLst/>
            </a:prstGeom>
            <a:ln w="38100">
              <a:headEnd type="triangle"/>
              <a:tailEnd type="triangle"/>
            </a:ln>
          </xdr:spPr>
          <xdr:style>
            <a:lnRef idx="3">
              <a:schemeClr val="dk1"/>
            </a:lnRef>
            <a:fillRef idx="0">
              <a:schemeClr val="dk1"/>
            </a:fillRef>
            <a:effectRef idx="2">
              <a:schemeClr val="dk1"/>
            </a:effectRef>
            <a:fontRef idx="minor">
              <a:schemeClr val="tx1"/>
            </a:fontRef>
          </xdr:style>
        </xdr:cxnSp>
        <xdr:sp macro="" textlink="">
          <xdr:nvSpPr>
            <xdr:cNvPr id="11" name="TextBox 10">
              <a:extLst>
                <a:ext uri="{FF2B5EF4-FFF2-40B4-BE49-F238E27FC236}">
                  <a16:creationId xmlns:a16="http://schemas.microsoft.com/office/drawing/2014/main" id="{DB5D2FEE-8291-4EE2-AA70-73E355BC15CC}"/>
                </a:ext>
              </a:extLst>
            </xdr:cNvPr>
            <xdr:cNvSpPr txBox="1"/>
          </xdr:nvSpPr>
          <xdr:spPr>
            <a:xfrm>
              <a:off x="16870620" y="2054988"/>
              <a:ext cx="2060061" cy="3426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Bottom base diameter</a:t>
              </a:r>
            </a:p>
          </xdr:txBody>
        </xdr:sp>
        <xdr:cxnSp macro="">
          <xdr:nvCxnSpPr>
            <xdr:cNvPr id="12" name="Straight Arrow Connector 11">
              <a:extLst>
                <a:ext uri="{FF2B5EF4-FFF2-40B4-BE49-F238E27FC236}">
                  <a16:creationId xmlns:a16="http://schemas.microsoft.com/office/drawing/2014/main" id="{3B69E55D-1E8B-47B6-A8E0-A32507F86B1B}"/>
                </a:ext>
              </a:extLst>
            </xdr:cNvPr>
            <xdr:cNvCxnSpPr/>
          </xdr:nvCxnSpPr>
          <xdr:spPr>
            <a:xfrm flipH="1" flipV="1">
              <a:off x="15068552" y="159884"/>
              <a:ext cx="5129210" cy="3402"/>
            </a:xfrm>
            <a:prstGeom prst="straightConnector1">
              <a:avLst/>
            </a:prstGeom>
            <a:ln w="38100">
              <a:headEnd type="triangle"/>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15" name="TextBox 14">
            <a:extLst>
              <a:ext uri="{FF2B5EF4-FFF2-40B4-BE49-F238E27FC236}">
                <a16:creationId xmlns:a16="http://schemas.microsoft.com/office/drawing/2014/main" id="{F01FF548-7A38-4C17-953A-6A83F412E85A}"/>
              </a:ext>
            </a:extLst>
          </xdr:cNvPr>
          <xdr:cNvSpPr txBox="1"/>
        </xdr:nvSpPr>
        <xdr:spPr>
          <a:xfrm>
            <a:off x="17362714" y="0"/>
            <a:ext cx="1778133" cy="338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a:t>Top base diameter</a:t>
            </a:r>
          </a:p>
        </xdr:txBody>
      </xdr:sp>
    </xdr:grpSp>
    <xdr:clientData/>
  </xdr:twoCellAnchor>
  <xdr:twoCellAnchor>
    <xdr:from>
      <xdr:col>6</xdr:col>
      <xdr:colOff>311727</xdr:colOff>
      <xdr:row>0</xdr:row>
      <xdr:rowOff>106049</xdr:rowOff>
    </xdr:from>
    <xdr:to>
      <xdr:col>6</xdr:col>
      <xdr:colOff>312387</xdr:colOff>
      <xdr:row>12</xdr:row>
      <xdr:rowOff>155863</xdr:rowOff>
    </xdr:to>
    <xdr:cxnSp macro="">
      <xdr:nvCxnSpPr>
        <xdr:cNvPr id="19" name="Straight Arrow Connector 18" descr="8ff47bbd-3652-497b-927e-bb0bac20a29e">
          <a:extLst>
            <a:ext uri="{FF2B5EF4-FFF2-40B4-BE49-F238E27FC236}">
              <a16:creationId xmlns:a16="http://schemas.microsoft.com/office/drawing/2014/main" id="{D3ABBDF6-50C8-4167-8AD5-BAD1E739F5F5}"/>
            </a:ext>
          </a:extLst>
        </xdr:cNvPr>
        <xdr:cNvCxnSpPr/>
      </xdr:nvCxnSpPr>
      <xdr:spPr>
        <a:xfrm flipV="1">
          <a:off x="15222682" y="106049"/>
          <a:ext cx="660" cy="278608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333807</xdr:colOff>
      <xdr:row>12</xdr:row>
      <xdr:rowOff>121227</xdr:rowOff>
    </xdr:from>
    <xdr:to>
      <xdr:col>17</xdr:col>
      <xdr:colOff>467590</xdr:colOff>
      <xdr:row>12</xdr:row>
      <xdr:rowOff>135514</xdr:rowOff>
    </xdr:to>
    <xdr:cxnSp macro="">
      <xdr:nvCxnSpPr>
        <xdr:cNvPr id="23" name="Straight Arrow Connector 22" descr="a6fef401-053a-44e4-a026-b8715f75bc35">
          <a:extLst>
            <a:ext uri="{FF2B5EF4-FFF2-40B4-BE49-F238E27FC236}">
              <a16:creationId xmlns:a16="http://schemas.microsoft.com/office/drawing/2014/main" id="{330E6F04-27DA-40A8-8898-36B11F8815BF}"/>
            </a:ext>
          </a:extLst>
        </xdr:cNvPr>
        <xdr:cNvCxnSpPr/>
      </xdr:nvCxnSpPr>
      <xdr:spPr>
        <a:xfrm flipV="1">
          <a:off x="15244762" y="2857500"/>
          <a:ext cx="7182283" cy="1428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571500</xdr:colOff>
      <xdr:row>0</xdr:row>
      <xdr:rowOff>0</xdr:rowOff>
    </xdr:from>
    <xdr:ext cx="331822" cy="468013"/>
    <xdr:sp macro="" textlink="">
      <xdr:nvSpPr>
        <xdr:cNvPr id="26" name="TextBox 25">
          <a:extLst>
            <a:ext uri="{FF2B5EF4-FFF2-40B4-BE49-F238E27FC236}">
              <a16:creationId xmlns:a16="http://schemas.microsoft.com/office/drawing/2014/main" id="{22511D7E-9AB7-4A11-83A8-8CD6838012FC}"/>
            </a:ext>
          </a:extLst>
        </xdr:cNvPr>
        <xdr:cNvSpPr txBox="1"/>
      </xdr:nvSpPr>
      <xdr:spPr>
        <a:xfrm>
          <a:off x="14841682" y="0"/>
          <a:ext cx="331822"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t>Z</a:t>
          </a:r>
        </a:p>
      </xdr:txBody>
    </xdr:sp>
    <xdr:clientData/>
  </xdr:oneCellAnchor>
  <xdr:oneCellAnchor>
    <xdr:from>
      <xdr:col>17</xdr:col>
      <xdr:colOff>184005</xdr:colOff>
      <xdr:row>12</xdr:row>
      <xdr:rowOff>157162</xdr:rowOff>
    </xdr:from>
    <xdr:ext cx="344582" cy="468013"/>
    <xdr:sp macro="" textlink="">
      <xdr:nvSpPr>
        <xdr:cNvPr id="27" name="TextBox 26">
          <a:extLst>
            <a:ext uri="{FF2B5EF4-FFF2-40B4-BE49-F238E27FC236}">
              <a16:creationId xmlns:a16="http://schemas.microsoft.com/office/drawing/2014/main" id="{741C53EA-191C-4373-9133-48928B115814}"/>
            </a:ext>
          </a:extLst>
        </xdr:cNvPr>
        <xdr:cNvSpPr txBox="1"/>
      </xdr:nvSpPr>
      <xdr:spPr>
        <a:xfrm>
          <a:off x="22143460" y="2893435"/>
          <a:ext cx="344582"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t>Y</a:t>
          </a:r>
        </a:p>
      </xdr:txBody>
    </xdr:sp>
    <xdr:clientData/>
  </xdr:oneCellAnchor>
  <xdr:twoCellAnchor>
    <xdr:from>
      <xdr:col>19</xdr:col>
      <xdr:colOff>349393</xdr:colOff>
      <xdr:row>0</xdr:row>
      <xdr:rowOff>0</xdr:rowOff>
    </xdr:from>
    <xdr:to>
      <xdr:col>24</xdr:col>
      <xdr:colOff>558943</xdr:colOff>
      <xdr:row>15</xdr:row>
      <xdr:rowOff>228601</xdr:rowOff>
    </xdr:to>
    <xdr:sp macro="" textlink="">
      <xdr:nvSpPr>
        <xdr:cNvPr id="31" name="Oval 30" descr="2caed18c-2e9a-41b5-b5ec-db07af925914">
          <a:extLst>
            <a:ext uri="{FF2B5EF4-FFF2-40B4-BE49-F238E27FC236}">
              <a16:creationId xmlns:a16="http://schemas.microsoft.com/office/drawing/2014/main" id="{681880E4-A5A0-4308-8DF9-F50BD61647D9}"/>
            </a:ext>
          </a:extLst>
        </xdr:cNvPr>
        <xdr:cNvSpPr/>
      </xdr:nvSpPr>
      <xdr:spPr>
        <a:xfrm>
          <a:off x="23590393" y="0"/>
          <a:ext cx="3413414" cy="3536374"/>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218766</xdr:colOff>
      <xdr:row>0</xdr:row>
      <xdr:rowOff>226373</xdr:rowOff>
    </xdr:from>
    <xdr:to>
      <xdr:col>19</xdr:col>
      <xdr:colOff>238125</xdr:colOff>
      <xdr:row>19</xdr:row>
      <xdr:rowOff>166687</xdr:rowOff>
    </xdr:to>
    <xdr:cxnSp macro="">
      <xdr:nvCxnSpPr>
        <xdr:cNvPr id="33" name="Straight Arrow Connector 32" descr="b3bec70f-95ed-415e-a22a-1623ef61b76e">
          <a:extLst>
            <a:ext uri="{FF2B5EF4-FFF2-40B4-BE49-F238E27FC236}">
              <a16:creationId xmlns:a16="http://schemas.microsoft.com/office/drawing/2014/main" id="{DC8D9F24-E7A8-4FF4-B9D3-F3477DD75709}"/>
            </a:ext>
          </a:extLst>
        </xdr:cNvPr>
        <xdr:cNvCxnSpPr/>
      </xdr:nvCxnSpPr>
      <xdr:spPr>
        <a:xfrm flipH="1" flipV="1">
          <a:off x="23507391" y="226373"/>
          <a:ext cx="19359" cy="401225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197860</xdr:colOff>
      <xdr:row>19</xdr:row>
      <xdr:rowOff>151100</xdr:rowOff>
    </xdr:from>
    <xdr:to>
      <xdr:col>25</xdr:col>
      <xdr:colOff>354219</xdr:colOff>
      <xdr:row>19</xdr:row>
      <xdr:rowOff>161862</xdr:rowOff>
    </xdr:to>
    <xdr:cxnSp macro="">
      <xdr:nvCxnSpPr>
        <xdr:cNvPr id="34" name="Straight Arrow Connector 33" descr="3b4022d9-ab06-4cec-85ca-d400abcad761">
          <a:extLst>
            <a:ext uri="{FF2B5EF4-FFF2-40B4-BE49-F238E27FC236}">
              <a16:creationId xmlns:a16="http://schemas.microsoft.com/office/drawing/2014/main" id="{7779FE31-D2B9-44E6-A8AC-776B8BF13AB2}"/>
            </a:ext>
          </a:extLst>
        </xdr:cNvPr>
        <xdr:cNvCxnSpPr/>
      </xdr:nvCxnSpPr>
      <xdr:spPr>
        <a:xfrm>
          <a:off x="23486485" y="4223038"/>
          <a:ext cx="4013984" cy="1076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417429</xdr:colOff>
      <xdr:row>0</xdr:row>
      <xdr:rowOff>18369</xdr:rowOff>
    </xdr:from>
    <xdr:ext cx="354200" cy="468013"/>
    <xdr:sp macro="" textlink="">
      <xdr:nvSpPr>
        <xdr:cNvPr id="35" name="TextBox 34">
          <a:extLst>
            <a:ext uri="{FF2B5EF4-FFF2-40B4-BE49-F238E27FC236}">
              <a16:creationId xmlns:a16="http://schemas.microsoft.com/office/drawing/2014/main" id="{B8D40BE8-D27D-42A2-A870-3A71DB28E993}"/>
            </a:ext>
          </a:extLst>
        </xdr:cNvPr>
        <xdr:cNvSpPr txBox="1"/>
      </xdr:nvSpPr>
      <xdr:spPr>
        <a:xfrm>
          <a:off x="23209393" y="18369"/>
          <a:ext cx="35420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t>X</a:t>
          </a:r>
        </a:p>
      </xdr:txBody>
    </xdr:sp>
    <xdr:clientData/>
  </xdr:oneCellAnchor>
  <xdr:oneCellAnchor>
    <xdr:from>
      <xdr:col>25</xdr:col>
      <xdr:colOff>429303</xdr:colOff>
      <xdr:row>18</xdr:row>
      <xdr:rowOff>115658</xdr:rowOff>
    </xdr:from>
    <xdr:ext cx="344582" cy="468013"/>
    <xdr:sp macro="" textlink="">
      <xdr:nvSpPr>
        <xdr:cNvPr id="36" name="TextBox 35">
          <a:extLst>
            <a:ext uri="{FF2B5EF4-FFF2-40B4-BE49-F238E27FC236}">
              <a16:creationId xmlns:a16="http://schemas.microsoft.com/office/drawing/2014/main" id="{18852E91-40E4-434C-8674-7E3C239CCE18}"/>
            </a:ext>
          </a:extLst>
        </xdr:cNvPr>
        <xdr:cNvSpPr txBox="1"/>
      </xdr:nvSpPr>
      <xdr:spPr>
        <a:xfrm>
          <a:off x="27575553" y="3997096"/>
          <a:ext cx="344582"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t>Y</a:t>
          </a:r>
        </a:p>
      </xdr:txBody>
    </xdr:sp>
    <xdr:clientData/>
  </xdr:oneCellAnchor>
  <xdr:twoCellAnchor>
    <xdr:from>
      <xdr:col>20</xdr:col>
      <xdr:colOff>347663</xdr:colOff>
      <xdr:row>2</xdr:row>
      <xdr:rowOff>160626</xdr:rowOff>
    </xdr:from>
    <xdr:to>
      <xdr:col>23</xdr:col>
      <xdr:colOff>568037</xdr:colOff>
      <xdr:row>12</xdr:row>
      <xdr:rowOff>125989</xdr:rowOff>
    </xdr:to>
    <xdr:grpSp>
      <xdr:nvGrpSpPr>
        <xdr:cNvPr id="49" name="Group 48">
          <a:extLst>
            <a:ext uri="{FF2B5EF4-FFF2-40B4-BE49-F238E27FC236}">
              <a16:creationId xmlns:a16="http://schemas.microsoft.com/office/drawing/2014/main" id="{18C9FE53-5007-4545-8B56-60E96CE833E3}"/>
            </a:ext>
          </a:extLst>
        </xdr:cNvPr>
        <xdr:cNvGrpSpPr/>
      </xdr:nvGrpSpPr>
      <xdr:grpSpPr>
        <a:xfrm>
          <a:off x="25516075" y="642479"/>
          <a:ext cx="2170197" cy="2262569"/>
          <a:chOff x="27696536" y="363682"/>
          <a:chExt cx="2142692" cy="2221489"/>
        </a:xfrm>
      </xdr:grpSpPr>
      <xdr:sp macro="" textlink="">
        <xdr:nvSpPr>
          <xdr:cNvPr id="32" name="Oval 31">
            <a:extLst>
              <a:ext uri="{FF2B5EF4-FFF2-40B4-BE49-F238E27FC236}">
                <a16:creationId xmlns:a16="http://schemas.microsoft.com/office/drawing/2014/main" id="{BB5002A4-BB2A-449B-A7FE-6318DF0F7936}"/>
              </a:ext>
            </a:extLst>
          </xdr:cNvPr>
          <xdr:cNvSpPr/>
        </xdr:nvSpPr>
        <xdr:spPr>
          <a:xfrm>
            <a:off x="27696536" y="363682"/>
            <a:ext cx="2142692" cy="2221489"/>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xnSp macro="">
        <xdr:nvCxnSpPr>
          <xdr:cNvPr id="40" name="Straight Arrow Connector 39">
            <a:extLst>
              <a:ext uri="{FF2B5EF4-FFF2-40B4-BE49-F238E27FC236}">
                <a16:creationId xmlns:a16="http://schemas.microsoft.com/office/drawing/2014/main" id="{1578A8F3-93F6-45D9-AB09-A21C9D827293}"/>
              </a:ext>
            </a:extLst>
          </xdr:cNvPr>
          <xdr:cNvCxnSpPr>
            <a:stCxn id="32" idx="6"/>
            <a:endCxn id="32" idx="2"/>
          </xdr:cNvCxnSpPr>
        </xdr:nvCxnSpPr>
        <xdr:spPr>
          <a:xfrm flipH="1">
            <a:off x="27696536" y="1479189"/>
            <a:ext cx="2142692" cy="0"/>
          </a:xfrm>
          <a:prstGeom prst="straightConnector1">
            <a:avLst/>
          </a:prstGeom>
          <a:ln w="38100">
            <a:headEnd type="triangle"/>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20</xdr:col>
      <xdr:colOff>555916</xdr:colOff>
      <xdr:row>5</xdr:row>
      <xdr:rowOff>149121</xdr:rowOff>
    </xdr:from>
    <xdr:to>
      <xdr:col>23</xdr:col>
      <xdr:colOff>304119</xdr:colOff>
      <xdr:row>7</xdr:row>
      <xdr:rowOff>4762</xdr:rowOff>
    </xdr:to>
    <xdr:sp macro="" textlink="">
      <xdr:nvSpPr>
        <xdr:cNvPr id="41" name="TextBox 40">
          <a:extLst>
            <a:ext uri="{FF2B5EF4-FFF2-40B4-BE49-F238E27FC236}">
              <a16:creationId xmlns:a16="http://schemas.microsoft.com/office/drawing/2014/main" id="{05116E09-894E-4ED2-B947-5D349E495BBA}"/>
            </a:ext>
          </a:extLst>
        </xdr:cNvPr>
        <xdr:cNvSpPr txBox="1"/>
      </xdr:nvSpPr>
      <xdr:spPr>
        <a:xfrm>
          <a:off x="25484202" y="1292121"/>
          <a:ext cx="1707631" cy="2910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a:t>Top base diameter</a:t>
          </a:r>
        </a:p>
      </xdr:txBody>
    </xdr:sp>
    <xdr:clientData/>
  </xdr:twoCellAnchor>
  <xdr:twoCellAnchor>
    <xdr:from>
      <xdr:col>19</xdr:col>
      <xdr:colOff>333375</xdr:colOff>
      <xdr:row>17</xdr:row>
      <xdr:rowOff>0</xdr:rowOff>
    </xdr:from>
    <xdr:to>
      <xdr:col>24</xdr:col>
      <xdr:colOff>581025</xdr:colOff>
      <xdr:row>17</xdr:row>
      <xdr:rowOff>9525</xdr:rowOff>
    </xdr:to>
    <xdr:cxnSp macro="">
      <xdr:nvCxnSpPr>
        <xdr:cNvPr id="51" name="Straight Arrow Connector 50" descr="dcef71c5-0c80-4c97-9af4-ec7aef3c83ee">
          <a:extLst>
            <a:ext uri="{FF2B5EF4-FFF2-40B4-BE49-F238E27FC236}">
              <a16:creationId xmlns:a16="http://schemas.microsoft.com/office/drawing/2014/main" id="{9B4888AE-C2F6-4DD2-AF0E-5C4D140D43B9}"/>
            </a:ext>
          </a:extLst>
        </xdr:cNvPr>
        <xdr:cNvCxnSpPr/>
      </xdr:nvCxnSpPr>
      <xdr:spPr>
        <a:xfrm flipH="1" flipV="1">
          <a:off x="23679150" y="3714750"/>
          <a:ext cx="3486150" cy="9525"/>
        </a:xfrm>
        <a:prstGeom prst="straightConnector1">
          <a:avLst/>
        </a:prstGeom>
        <a:ln w="38100">
          <a:headEnd type="triangle"/>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619428</xdr:colOff>
      <xdr:row>17</xdr:row>
      <xdr:rowOff>27174</xdr:rowOff>
    </xdr:from>
    <xdr:to>
      <xdr:col>24</xdr:col>
      <xdr:colOff>68036</xdr:colOff>
      <xdr:row>18</xdr:row>
      <xdr:rowOff>149678</xdr:rowOff>
    </xdr:to>
    <xdr:sp macro="" textlink="">
      <xdr:nvSpPr>
        <xdr:cNvPr id="52" name="TextBox 51">
          <a:extLst>
            <a:ext uri="{FF2B5EF4-FFF2-40B4-BE49-F238E27FC236}">
              <a16:creationId xmlns:a16="http://schemas.microsoft.com/office/drawing/2014/main" id="{B6158E70-122C-4F17-BE7E-AF9EAC5ED0DB}"/>
            </a:ext>
          </a:extLst>
        </xdr:cNvPr>
        <xdr:cNvSpPr txBox="1"/>
      </xdr:nvSpPr>
      <xdr:spPr>
        <a:xfrm>
          <a:off x="25547714" y="3755531"/>
          <a:ext cx="2061179" cy="299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a:t>Bottom base diameter</a:t>
          </a:r>
        </a:p>
      </xdr:txBody>
    </xdr:sp>
    <xdr:clientData/>
  </xdr:twoCellAnchor>
  <xdr:twoCellAnchor>
    <xdr:from>
      <xdr:col>19</xdr:col>
      <xdr:colOff>334379</xdr:colOff>
      <xdr:row>6</xdr:row>
      <xdr:rowOff>39460</xdr:rowOff>
    </xdr:from>
    <xdr:to>
      <xdr:col>19</xdr:col>
      <xdr:colOff>340858</xdr:colOff>
      <xdr:row>17</xdr:row>
      <xdr:rowOff>55375</xdr:rowOff>
    </xdr:to>
    <xdr:cxnSp macro="">
      <xdr:nvCxnSpPr>
        <xdr:cNvPr id="55" name="Straight Connector 54">
          <a:extLst>
            <a:ext uri="{FF2B5EF4-FFF2-40B4-BE49-F238E27FC236}">
              <a16:creationId xmlns:a16="http://schemas.microsoft.com/office/drawing/2014/main" id="{9B5441C1-E5A6-4173-8EE3-C00622F9AFB9}"/>
            </a:ext>
          </a:extLst>
        </xdr:cNvPr>
        <xdr:cNvCxnSpPr/>
      </xdr:nvCxnSpPr>
      <xdr:spPr>
        <a:xfrm flipH="1">
          <a:off x="23680154" y="1401535"/>
          <a:ext cx="6479" cy="23685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572504</xdr:colOff>
      <xdr:row>6</xdr:row>
      <xdr:rowOff>39460</xdr:rowOff>
    </xdr:from>
    <xdr:to>
      <xdr:col>24</xdr:col>
      <xdr:colOff>578983</xdr:colOff>
      <xdr:row>17</xdr:row>
      <xdr:rowOff>55375</xdr:rowOff>
    </xdr:to>
    <xdr:cxnSp macro="">
      <xdr:nvCxnSpPr>
        <xdr:cNvPr id="58" name="Straight Connector 57">
          <a:extLst>
            <a:ext uri="{FF2B5EF4-FFF2-40B4-BE49-F238E27FC236}">
              <a16:creationId xmlns:a16="http://schemas.microsoft.com/office/drawing/2014/main" id="{9FA7927D-0A60-4B27-A613-89CB38B28BC3}"/>
            </a:ext>
          </a:extLst>
        </xdr:cNvPr>
        <xdr:cNvCxnSpPr/>
      </xdr:nvCxnSpPr>
      <xdr:spPr>
        <a:xfrm flipH="1">
          <a:off x="27156779" y="1401535"/>
          <a:ext cx="6479" cy="23685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448235</xdr:colOff>
      <xdr:row>10</xdr:row>
      <xdr:rowOff>212912</xdr:rowOff>
    </xdr:from>
    <xdr:to>
      <xdr:col>7</xdr:col>
      <xdr:colOff>506785</xdr:colOff>
      <xdr:row>10</xdr:row>
      <xdr:rowOff>219917</xdr:rowOff>
    </xdr:to>
    <xdr:cxnSp macro="">
      <xdr:nvCxnSpPr>
        <xdr:cNvPr id="8" name="Straight Arrow Connector 7" descr="8bab0b2e-3a34-4208-b400-87995f5abbc1">
          <a:extLst>
            <a:ext uri="{FF2B5EF4-FFF2-40B4-BE49-F238E27FC236}">
              <a16:creationId xmlns:a16="http://schemas.microsoft.com/office/drawing/2014/main" id="{6009FDFD-76F4-4264-8E4D-67E8538D7BB4}"/>
            </a:ext>
          </a:extLst>
        </xdr:cNvPr>
        <xdr:cNvCxnSpPr/>
      </xdr:nvCxnSpPr>
      <xdr:spPr>
        <a:xfrm>
          <a:off x="16293353" y="2610971"/>
          <a:ext cx="708491" cy="7005"/>
        </a:xfrm>
        <a:prstGeom prst="straightConnector1">
          <a:avLst/>
        </a:prstGeom>
        <a:ln w="12700">
          <a:solidFill>
            <a:schemeClr val="tx1">
              <a:lumMod val="95000"/>
              <a:lumOff val="5000"/>
            </a:schemeClr>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29695</xdr:colOff>
      <xdr:row>10</xdr:row>
      <xdr:rowOff>253255</xdr:rowOff>
    </xdr:from>
    <xdr:to>
      <xdr:col>7</xdr:col>
      <xdr:colOff>325531</xdr:colOff>
      <xdr:row>12</xdr:row>
      <xdr:rowOff>83204</xdr:rowOff>
    </xdr:to>
    <xdr:sp macro="" textlink="">
      <xdr:nvSpPr>
        <xdr:cNvPr id="17" name="TextBox 16">
          <a:extLst>
            <a:ext uri="{FF2B5EF4-FFF2-40B4-BE49-F238E27FC236}">
              <a16:creationId xmlns:a16="http://schemas.microsoft.com/office/drawing/2014/main" id="{DE0EAE48-8496-40FA-B8F3-D427F35B95CA}"/>
            </a:ext>
          </a:extLst>
        </xdr:cNvPr>
        <xdr:cNvSpPr txBox="1"/>
      </xdr:nvSpPr>
      <xdr:spPr>
        <a:xfrm>
          <a:off x="16524754" y="2651314"/>
          <a:ext cx="295836" cy="334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L</a:t>
          </a:r>
        </a:p>
      </xdr:txBody>
    </xdr:sp>
    <xdr:clientData/>
  </xdr:twoCellAnchor>
  <xdr:twoCellAnchor>
    <xdr:from>
      <xdr:col>6</xdr:col>
      <xdr:colOff>456699</xdr:colOff>
      <xdr:row>9</xdr:row>
      <xdr:rowOff>154404</xdr:rowOff>
    </xdr:from>
    <xdr:to>
      <xdr:col>7</xdr:col>
      <xdr:colOff>19551</xdr:colOff>
      <xdr:row>10</xdr:row>
      <xdr:rowOff>192504</xdr:rowOff>
    </xdr:to>
    <xdr:sp macro="" textlink="">
      <xdr:nvSpPr>
        <xdr:cNvPr id="4" name="Arc 3" descr="5e1ee601-7ca5-4d26-82e0-8eb6e9ae64d3">
          <a:extLst>
            <a:ext uri="{FF2B5EF4-FFF2-40B4-BE49-F238E27FC236}">
              <a16:creationId xmlns:a16="http://schemas.microsoft.com/office/drawing/2014/main" id="{94AFCCB2-D989-47AA-80FA-8D457A085012}"/>
            </a:ext>
          </a:extLst>
        </xdr:cNvPr>
        <xdr:cNvSpPr/>
      </xdr:nvSpPr>
      <xdr:spPr>
        <a:xfrm>
          <a:off x="21642304" y="2184733"/>
          <a:ext cx="209550" cy="258679"/>
        </a:xfrm>
        <a:prstGeom prst="arc">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19948</xdr:colOff>
      <xdr:row>8</xdr:row>
      <xdr:rowOff>50132</xdr:rowOff>
    </xdr:from>
    <xdr:to>
      <xdr:col>7</xdr:col>
      <xdr:colOff>360695</xdr:colOff>
      <xdr:row>9</xdr:row>
      <xdr:rowOff>200275</xdr:rowOff>
    </xdr:to>
    <xdr:sp macro="" textlink="">
      <xdr:nvSpPr>
        <xdr:cNvPr id="38" name="TextBox 37">
          <a:extLst>
            <a:ext uri="{FF2B5EF4-FFF2-40B4-BE49-F238E27FC236}">
              <a16:creationId xmlns:a16="http://schemas.microsoft.com/office/drawing/2014/main" id="{52519590-8893-4D21-9FDB-E3F11EF5EF42}"/>
            </a:ext>
          </a:extLst>
        </xdr:cNvPr>
        <xdr:cNvSpPr txBox="1"/>
      </xdr:nvSpPr>
      <xdr:spPr>
        <a:xfrm>
          <a:off x="21852251" y="1859882"/>
          <a:ext cx="340747" cy="370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000" b="1"/>
            <a:t>θ</a:t>
          </a:r>
          <a:endParaRPr lang="en-US" sz="1600" b="1"/>
        </a:p>
      </xdr:txBody>
    </xdr:sp>
    <xdr:clientData/>
  </xdr:twoCellAnchor>
</xdr:wsDr>
</file>

<file path=xl/persons/person.xml><?xml version="1.0" encoding="utf-8"?>
<personList xmlns="http://schemas.microsoft.com/office/spreadsheetml/2018/threadedcomments" xmlns:x="http://schemas.openxmlformats.org/spreadsheetml/2006/main">
  <person displayName="Hessam Azarijafari" id="{9D90C48D-D2FD-4374-A028-9FEFDE76C13A}" userId="219952cff2d42e25"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8EFF36-074E-4581-B5A9-F66CA3E6EB82}" name="Table1" displayName="Table1" ref="A2:B17" totalsRowShown="0" headerRowDxfId="7" dataDxfId="6">
  <autoFilter ref="A2:B17" xr:uid="{2DAFE315-5482-4086-AED4-E4FDEB0BB67B}"/>
  <tableColumns count="2">
    <tableColumn id="1" xr3:uid="{87D21732-5FAA-49DA-9829-0AAC4FB00FA4}" name="Input name" dataDxfId="5"/>
    <tableColumn id="2" xr3:uid="{55741036-6FF5-4279-B296-C0612F998D50}" name="Value (Please fill out all the yellow cells)" dataDxfId="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EF079C-7FE7-4A27-95FA-BE67DA7C5585}" name="Table2" displayName="Table2" ref="D2:E12" totalsRowShown="0" headerRowDxfId="3" dataDxfId="2">
  <autoFilter ref="D2:E12" xr:uid="{90AADA49-478B-4639-A8C3-D9401BC82D17}"/>
  <tableColumns count="2">
    <tableColumn id="1" xr3:uid="{E029B98A-A613-4EB0-8459-1ECFA9AC14DE}" name="Input name" dataDxfId="1"/>
    <tableColumn id="2" xr3:uid="{122CBBE2-21BB-43E7-A37B-E66DDEB8124F}" name="Value (Please fill out all the yellow cells )"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2" dT="2021-11-03T14:58:07.67" personId="{9D90C48D-D2FD-4374-A028-9FEFDE76C13A}" id="{C0E6C3DD-F69E-42BD-A0E6-E456D4C35853}">
    <text>Side slopes of the stockpile should not exceed
2:1. 
Alabama Soil and Water Conservation Committee:
https://alconservationdistricts.gov/wp-content/uploads/2017/07/04_Site_Preparation.pdf?__cf_chl_jschl_tk__=1g4LXnehx33yGDt4KdEisMGnLZzsR4UKjw77lRaY.4s-1635951719-0-gaNycGzNCNE</text>
  </threadedComment>
  <threadedComment ref="O3" dT="2020-06-19T03:11:48.54" personId="{9D90C48D-D2FD-4374-A028-9FEFDE76C13A}" id="{2BDC976A-465F-418D-8A6F-63EDC9603E0E}">
    <text>IVL Report 2018</text>
  </threadedComment>
  <threadedComment ref="O4" dT="2020-06-19T03:02:55.03" personId="{9D90C48D-D2FD-4374-A028-9FEFDE76C13A}" id="{EEEACBFE-9E7E-4013-9BD4-0976E2849BC5}">
    <text>IVL report 2018</text>
  </threadedComment>
  <threadedComment ref="A5" dT="2020-06-18T02:22:54.13" personId="{9D90C48D-D2FD-4374-A028-9FEFDE76C13A}" id="{09251846-B104-4830-A3F4-C441830234B7}">
    <text>Concrete Technology Neville &amp; Brooks</text>
  </threadedComment>
  <threadedComment ref="A6" dT="2020-06-18T02:22:57.91" personId="{9D90C48D-D2FD-4374-A028-9FEFDE76C13A}" id="{50B0ECFE-B7EC-466A-BC62-888D86C4539C}">
    <text>Concrete Technology Neville &amp; Brooks</text>
  </threadedComment>
  <threadedComment ref="A7" dT="2020-06-18T02:22:02.13" personId="{9D90C48D-D2FD-4374-A028-9FEFDE76C13A}" id="{FA8D026C-136E-45B3-B3A2-E325B6CD4BF3}">
    <text>EN 16757, 2017
Appendix BB</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shub@mit.edu"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C61E-AE95-460A-A470-47F2ECD2A2AE}">
  <dimension ref="A1:C34"/>
  <sheetViews>
    <sheetView workbookViewId="0"/>
  </sheetViews>
  <sheetFormatPr defaultRowHeight="14.25" x14ac:dyDescent="0.45"/>
  <cols>
    <col min="1" max="2" width="36.53125" customWidth="1"/>
  </cols>
  <sheetData>
    <row r="1" spans="1:3" x14ac:dyDescent="0.45">
      <c r="A1" s="24" t="s">
        <v>99</v>
      </c>
    </row>
    <row r="3" spans="1:3" x14ac:dyDescent="0.45">
      <c r="A3" t="s">
        <v>100</v>
      </c>
      <c r="B3" t="s">
        <v>101</v>
      </c>
      <c r="C3">
        <v>0</v>
      </c>
    </row>
    <row r="4" spans="1:3" x14ac:dyDescent="0.45">
      <c r="A4" t="s">
        <v>102</v>
      </c>
    </row>
    <row r="5" spans="1:3" x14ac:dyDescent="0.45">
      <c r="A5" t="s">
        <v>103</v>
      </c>
    </row>
    <row r="7" spans="1:3" x14ac:dyDescent="0.45">
      <c r="A7" s="24" t="s">
        <v>104</v>
      </c>
      <c r="B7" t="s">
        <v>105</v>
      </c>
    </row>
    <row r="8" spans="1:3" x14ac:dyDescent="0.45">
      <c r="B8">
        <v>2</v>
      </c>
    </row>
    <row r="10" spans="1:3" x14ac:dyDescent="0.45">
      <c r="A10" t="s">
        <v>106</v>
      </c>
    </row>
    <row r="11" spans="1:3" x14ac:dyDescent="0.45">
      <c r="A11" t="e">
        <f>CB_DATA_!#REF!</f>
        <v>#REF!</v>
      </c>
      <c r="B11" t="e">
        <f>'Inputs and result'!#REF!</f>
        <v>#REF!</v>
      </c>
    </row>
    <row r="13" spans="1:3" x14ac:dyDescent="0.45">
      <c r="A13" t="s">
        <v>107</v>
      </c>
    </row>
    <row r="14" spans="1:3" x14ac:dyDescent="0.45">
      <c r="A14" t="s">
        <v>111</v>
      </c>
      <c r="B14" t="s">
        <v>115</v>
      </c>
    </row>
    <row r="16" spans="1:3" x14ac:dyDescent="0.45">
      <c r="A16" t="s">
        <v>108</v>
      </c>
    </row>
    <row r="19" spans="1:2" x14ac:dyDescent="0.45">
      <c r="A19" t="s">
        <v>109</v>
      </c>
    </row>
    <row r="20" spans="1:2" x14ac:dyDescent="0.45">
      <c r="A20">
        <v>34</v>
      </c>
      <c r="B20">
        <v>26</v>
      </c>
    </row>
    <row r="25" spans="1:2" x14ac:dyDescent="0.45">
      <c r="A25" s="24" t="s">
        <v>110</v>
      </c>
    </row>
    <row r="26" spans="1:2" x14ac:dyDescent="0.45">
      <c r="A26" s="25" t="s">
        <v>112</v>
      </c>
    </row>
    <row r="27" spans="1:2" x14ac:dyDescent="0.45">
      <c r="A27" t="s">
        <v>113</v>
      </c>
    </row>
    <row r="28" spans="1:2" x14ac:dyDescent="0.45">
      <c r="A28" s="25" t="s">
        <v>114</v>
      </c>
    </row>
    <row r="29" spans="1:2" x14ac:dyDescent="0.45">
      <c r="A29" s="25" t="s">
        <v>116</v>
      </c>
    </row>
    <row r="30" spans="1:2" x14ac:dyDescent="0.45">
      <c r="A30" t="s">
        <v>120</v>
      </c>
    </row>
    <row r="31" spans="1:2" x14ac:dyDescent="0.45">
      <c r="A31" s="25" t="s">
        <v>114</v>
      </c>
    </row>
    <row r="32" spans="1:2" x14ac:dyDescent="0.45">
      <c r="A32" s="25" t="s">
        <v>117</v>
      </c>
    </row>
    <row r="33" spans="1:1" x14ac:dyDescent="0.45">
      <c r="A33" t="s">
        <v>119</v>
      </c>
    </row>
    <row r="34" spans="1:1" x14ac:dyDescent="0.45">
      <c r="A34" s="25" t="s">
        <v>118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zoomScale="85" zoomScaleNormal="85" workbookViewId="0">
      <selection activeCell="E6" sqref="E6"/>
    </sheetView>
  </sheetViews>
  <sheetFormatPr defaultRowHeight="14.25" x14ac:dyDescent="0.45"/>
  <cols>
    <col min="1" max="1" width="51.1328125" customWidth="1"/>
    <col min="2" max="2" width="53.86328125" bestFit="1" customWidth="1"/>
    <col min="4" max="4" width="51.1328125" customWidth="1"/>
    <col min="5" max="5" width="50.59765625" customWidth="1"/>
  </cols>
  <sheetData>
    <row r="1" spans="1:7" ht="21" x14ac:dyDescent="0.65">
      <c r="A1" s="41" t="s">
        <v>48</v>
      </c>
      <c r="B1" s="41"/>
      <c r="D1" s="41" t="s">
        <v>146</v>
      </c>
      <c r="E1" s="41"/>
      <c r="F1" s="18"/>
      <c r="G1" s="18"/>
    </row>
    <row r="2" spans="1:7" ht="16.899999999999999" x14ac:dyDescent="0.65">
      <c r="A2" s="1" t="s">
        <v>41</v>
      </c>
      <c r="B2" s="2" t="s">
        <v>69</v>
      </c>
      <c r="D2" s="17" t="s">
        <v>41</v>
      </c>
      <c r="E2" s="17" t="s">
        <v>70</v>
      </c>
    </row>
    <row r="3" spans="1:7" ht="21.4" x14ac:dyDescent="0.8">
      <c r="A3" s="39" t="s">
        <v>144</v>
      </c>
      <c r="B3" s="37"/>
      <c r="D3" s="17" t="s">
        <v>121</v>
      </c>
      <c r="E3" s="40">
        <f>IFERROR(IF(Calcul!U3*2&gt;0,Calcul!U3*2,"This geometry cannot be assigned to the concrete volume, please choose a different height"),"This geometry cannot be assigned to the concrete volume, please choose a different height")</f>
        <v>3.4151965729696858</v>
      </c>
    </row>
    <row r="4" spans="1:7" ht="16.899999999999999" x14ac:dyDescent="0.65">
      <c r="A4" s="35" t="s">
        <v>32</v>
      </c>
      <c r="B4" s="34">
        <v>100</v>
      </c>
      <c r="D4" s="17" t="s">
        <v>122</v>
      </c>
      <c r="E4" s="40">
        <f>IFERROR(Calcul!U4*2,"This geometry cannot be assigned to the concrete volume, please choose a different height")</f>
        <v>6.1626739924243079</v>
      </c>
    </row>
    <row r="5" spans="1:7" ht="21.4" x14ac:dyDescent="0.8">
      <c r="A5" s="39" t="s">
        <v>143</v>
      </c>
      <c r="B5" s="38"/>
      <c r="D5" s="17" t="s">
        <v>73</v>
      </c>
      <c r="E5" s="31">
        <v>0.5</v>
      </c>
    </row>
    <row r="6" spans="1:7" ht="16.899999999999999" x14ac:dyDescent="0.65">
      <c r="A6" s="36" t="s">
        <v>135</v>
      </c>
      <c r="B6" s="32">
        <v>10</v>
      </c>
      <c r="D6" s="17" t="s">
        <v>49</v>
      </c>
      <c r="E6" s="20" t="s">
        <v>88</v>
      </c>
    </row>
    <row r="7" spans="1:7" ht="16.899999999999999" x14ac:dyDescent="0.65">
      <c r="A7" s="36" t="s">
        <v>5</v>
      </c>
      <c r="B7" s="20">
        <v>0</v>
      </c>
      <c r="D7" s="17" t="s">
        <v>50</v>
      </c>
      <c r="E7" s="20">
        <v>1.5</v>
      </c>
    </row>
    <row r="8" spans="1:7" ht="16.899999999999999" x14ac:dyDescent="0.65">
      <c r="A8" s="36" t="s">
        <v>3</v>
      </c>
      <c r="B8" s="20" t="s">
        <v>17</v>
      </c>
      <c r="D8" s="17" t="s">
        <v>142</v>
      </c>
      <c r="E8" s="20">
        <v>20</v>
      </c>
    </row>
    <row r="9" spans="1:7" ht="16.899999999999999" x14ac:dyDescent="0.65">
      <c r="A9" s="36" t="s">
        <v>6</v>
      </c>
      <c r="B9" s="20">
        <v>0</v>
      </c>
      <c r="D9" s="17" t="s">
        <v>148</v>
      </c>
      <c r="E9" s="20" t="s">
        <v>151</v>
      </c>
    </row>
    <row r="10" spans="1:7" ht="16.899999999999999" x14ac:dyDescent="0.65">
      <c r="A10" s="36" t="s">
        <v>4</v>
      </c>
      <c r="B10" s="20" t="s">
        <v>17</v>
      </c>
      <c r="D10" s="17" t="s">
        <v>91</v>
      </c>
      <c r="E10" s="33">
        <f>B6*Calcul!U20*Calcul!U21</f>
        <v>21.150000000000002</v>
      </c>
    </row>
    <row r="11" spans="1:7" ht="21.4" x14ac:dyDescent="0.8">
      <c r="A11" s="39" t="s">
        <v>145</v>
      </c>
      <c r="B11" s="38"/>
      <c r="D11" s="39" t="s">
        <v>51</v>
      </c>
      <c r="E11" s="21">
        <f>IFERROR(IF(Calcul!U3&gt;0,Calcul!U10,"This geometry cannot be assigned to the concrete volume, please choose a different height"),"This geometry cannot be assigned to the concrete volume, please choose a different height")</f>
        <v>194.65037346846819</v>
      </c>
    </row>
    <row r="12" spans="1:7" ht="16.899999999999999" x14ac:dyDescent="0.65">
      <c r="A12" s="36" t="s">
        <v>8</v>
      </c>
      <c r="B12" s="20" t="s">
        <v>11</v>
      </c>
      <c r="D12" s="17"/>
      <c r="E12" s="23"/>
    </row>
    <row r="13" spans="1:7" ht="16.899999999999999" x14ac:dyDescent="0.65">
      <c r="A13" s="36" t="s">
        <v>0</v>
      </c>
      <c r="B13" s="20">
        <v>350</v>
      </c>
    </row>
    <row r="14" spans="1:7" ht="16.899999999999999" x14ac:dyDescent="0.65">
      <c r="A14" s="36" t="s">
        <v>1</v>
      </c>
      <c r="B14" s="20">
        <v>0</v>
      </c>
    </row>
    <row r="15" spans="1:7" ht="16.899999999999999" x14ac:dyDescent="0.65">
      <c r="A15" s="36" t="s">
        <v>2</v>
      </c>
      <c r="B15" s="20">
        <v>0</v>
      </c>
    </row>
    <row r="16" spans="1:7" ht="16.899999999999999" x14ac:dyDescent="0.65">
      <c r="A16" s="36" t="s">
        <v>43</v>
      </c>
      <c r="B16" s="20">
        <v>0</v>
      </c>
    </row>
    <row r="17" spans="1:2" ht="21.4" x14ac:dyDescent="0.8">
      <c r="A17" s="39" t="s">
        <v>46</v>
      </c>
      <c r="B17" s="21">
        <f>Calcul!B18*'Inputs and result'!B7+Calcul!B19*'Inputs and result'!B9</f>
        <v>0</v>
      </c>
    </row>
    <row r="22" spans="1:2" ht="21.4" x14ac:dyDescent="0.8">
      <c r="A22" s="26" t="s">
        <v>123</v>
      </c>
      <c r="B22" s="27">
        <f>B17+E11</f>
        <v>194.65037346846819</v>
      </c>
    </row>
    <row r="27" spans="1:2" x14ac:dyDescent="0.45">
      <c r="A27" t="s">
        <v>65</v>
      </c>
    </row>
    <row r="28" spans="1:2" x14ac:dyDescent="0.45">
      <c r="A28" t="s">
        <v>67</v>
      </c>
    </row>
    <row r="29" spans="1:2" x14ac:dyDescent="0.45">
      <c r="A29" t="s">
        <v>71</v>
      </c>
    </row>
    <row r="30" spans="1:2" x14ac:dyDescent="0.45">
      <c r="A30" t="s">
        <v>68</v>
      </c>
    </row>
    <row r="31" spans="1:2" x14ac:dyDescent="0.45">
      <c r="A31" t="s">
        <v>76</v>
      </c>
    </row>
    <row r="32" spans="1:2" x14ac:dyDescent="0.45">
      <c r="A32" t="s">
        <v>77</v>
      </c>
    </row>
    <row r="35" spans="1:3" x14ac:dyDescent="0.45">
      <c r="A35" t="s">
        <v>78</v>
      </c>
      <c r="B35" t="s">
        <v>79</v>
      </c>
      <c r="C35" t="s">
        <v>80</v>
      </c>
    </row>
    <row r="37" spans="1:3" x14ac:dyDescent="0.45">
      <c r="A37" t="s">
        <v>66</v>
      </c>
      <c r="B37" s="19" t="s">
        <v>81</v>
      </c>
    </row>
  </sheetData>
  <mergeCells count="2">
    <mergeCell ref="A1:B1"/>
    <mergeCell ref="D1:E1"/>
  </mergeCells>
  <hyperlinks>
    <hyperlink ref="B37" r:id="rId1" xr:uid="{49E41045-42DC-4D1B-AEA8-B217C0AE0561}"/>
  </hyperlinks>
  <pageMargins left="0.7" right="0.7" top="0.75" bottom="0.75" header="0.3" footer="0.3"/>
  <pageSetup paperSize="129" orientation="portrait" r:id="rId2"/>
  <drawing r:id="rId3"/>
  <tableParts count="2">
    <tablePart r:id="rId4"/>
    <tablePart r:id="rId5"/>
  </tableParts>
  <extLst>
    <ext xmlns:x14="http://schemas.microsoft.com/office/spreadsheetml/2009/9/main" uri="{CCE6A557-97BC-4b89-ADB6-D9C93CAAB3DF}">
      <x14:dataValidations xmlns:xm="http://schemas.microsoft.com/office/excel/2006/main" count="6">
        <x14:dataValidation type="list" allowBlank="1" showInputMessage="1" showErrorMessage="1" xr:uid="{24BD1ED0-5A2C-40ED-8C97-1C05D4D22A54}">
          <x14:formula1>
            <xm:f>Calcul!$F$3:$F$8</xm:f>
          </x14:formula1>
          <xm:sqref>B8 B10</xm:sqref>
        </x14:dataValidation>
        <x14:dataValidation type="list" allowBlank="1" showInputMessage="1" showErrorMessage="1" xr:uid="{342A6EBB-1FE7-4427-BEFA-8327659E1C34}">
          <x14:formula1>
            <xm:f>Calcul!$O$4:$O$6</xm:f>
          </x14:formula1>
          <xm:sqref>E6</xm:sqref>
        </x14:dataValidation>
        <x14:dataValidation type="list" allowBlank="1" showInputMessage="1" showErrorMessage="1" xr:uid="{C3B8E3AD-83DF-4BBC-8ACB-4A3D99B8E97C}">
          <x14:formula1>
            <xm:f>Calcul!$AB$2:$AB$5</xm:f>
          </x14:formula1>
          <xm:sqref>E8</xm:sqref>
        </x14:dataValidation>
        <x14:dataValidation type="list" allowBlank="1" showInputMessage="1" showErrorMessage="1" xr:uid="{4FAA70EB-FE72-493D-AE8B-D8476F00248A}">
          <x14:formula1>
            <xm:f>Calcul!$W$2:$W$8</xm:f>
          </x14:formula1>
          <xm:sqref>E5</xm:sqref>
        </x14:dataValidation>
        <x14:dataValidation type="list" allowBlank="1" showInputMessage="1" showErrorMessage="1" xr:uid="{F0BA0BB2-0AE5-419F-B9D0-5D8BCCF39DB3}">
          <x14:formula1>
            <xm:f>Calcul!$G$2:$J$2</xm:f>
          </x14:formula1>
          <xm:sqref>B12</xm:sqref>
        </x14:dataValidation>
        <x14:dataValidation type="list" allowBlank="1" showInputMessage="1" showErrorMessage="1" xr:uid="{2230FFA6-1AFB-4CDA-A61F-87B6E693EA4E}">
          <x14:formula1>
            <xm:f>Calcul!$AD$2:$AD$3</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5C5A-10B0-4F66-809F-594D7372AC8D}">
  <dimension ref="A1:AD523"/>
  <sheetViews>
    <sheetView topLeftCell="N1" zoomScaleNormal="100" workbookViewId="0">
      <selection activeCell="U11" sqref="U11"/>
    </sheetView>
  </sheetViews>
  <sheetFormatPr defaultRowHeight="14.25" x14ac:dyDescent="0.45"/>
  <cols>
    <col min="1" max="1" width="33.46484375" bestFit="1" customWidth="1"/>
    <col min="2" max="2" width="11.19921875" customWidth="1"/>
    <col min="6" max="6" width="19.86328125" bestFit="1" customWidth="1"/>
    <col min="7" max="7" width="20.46484375" bestFit="1" customWidth="1"/>
    <col min="8" max="8" width="27.6640625" bestFit="1" customWidth="1"/>
    <col min="10" max="10" width="9.19921875" bestFit="1" customWidth="1"/>
    <col min="15" max="15" width="54.796875" customWidth="1"/>
    <col min="16" max="16" width="21" bestFit="1" customWidth="1"/>
    <col min="17" max="17" width="18.46484375" bestFit="1" customWidth="1"/>
    <col min="18" max="18" width="15.53125" customWidth="1"/>
    <col min="19" max="19" width="8.46484375" customWidth="1"/>
    <col min="20" max="20" width="41.1328125" bestFit="1" customWidth="1"/>
    <col min="21" max="21" width="16.6640625" bestFit="1" customWidth="1"/>
    <col min="24" max="24" width="17.19921875" bestFit="1" customWidth="1"/>
    <col min="25" max="25" width="25.9296875" bestFit="1" customWidth="1"/>
    <col min="26" max="26" width="10.19921875" bestFit="1" customWidth="1"/>
    <col min="30" max="30" width="26.59765625" bestFit="1" customWidth="1"/>
  </cols>
  <sheetData>
    <row r="1" spans="1:30" x14ac:dyDescent="0.45">
      <c r="A1" t="s">
        <v>124</v>
      </c>
      <c r="F1" s="42" t="s">
        <v>125</v>
      </c>
      <c r="G1" s="42"/>
      <c r="H1" s="42"/>
      <c r="I1" s="42"/>
      <c r="J1" s="43"/>
      <c r="K1" s="3"/>
      <c r="O1" s="42" t="s">
        <v>138</v>
      </c>
      <c r="P1" s="42"/>
      <c r="Q1" s="42"/>
      <c r="R1" s="42"/>
      <c r="T1" s="42" t="s">
        <v>128</v>
      </c>
      <c r="U1" s="42"/>
      <c r="W1" t="s">
        <v>130</v>
      </c>
      <c r="Y1" t="s">
        <v>131</v>
      </c>
      <c r="AB1" t="s">
        <v>141</v>
      </c>
      <c r="AD1" t="s">
        <v>149</v>
      </c>
    </row>
    <row r="2" spans="1:30" ht="21.75" customHeight="1" x14ac:dyDescent="0.45">
      <c r="A2" s="3" t="s">
        <v>27</v>
      </c>
      <c r="B2" s="8">
        <f>44/56</f>
        <v>0.7857142857142857</v>
      </c>
      <c r="C2" s="14"/>
      <c r="D2" s="14"/>
      <c r="E2" s="14"/>
      <c r="F2" s="12"/>
      <c r="G2" s="15" t="s">
        <v>9</v>
      </c>
      <c r="H2" s="12" t="s">
        <v>10</v>
      </c>
      <c r="I2" s="12" t="s">
        <v>11</v>
      </c>
      <c r="J2" s="15" t="s">
        <v>12</v>
      </c>
      <c r="K2" s="15" t="s">
        <v>7</v>
      </c>
      <c r="L2" s="14"/>
      <c r="M2" s="14"/>
      <c r="N2" s="14"/>
      <c r="O2" s="12" t="s">
        <v>72</v>
      </c>
      <c r="P2" s="12" t="s">
        <v>53</v>
      </c>
      <c r="Q2" s="16" t="s">
        <v>55</v>
      </c>
      <c r="R2" s="16" t="s">
        <v>74</v>
      </c>
      <c r="T2" s="12" t="s">
        <v>47</v>
      </c>
      <c r="U2" s="12" t="s">
        <v>57</v>
      </c>
      <c r="W2" s="3">
        <v>0.5</v>
      </c>
      <c r="Y2" s="5" t="s">
        <v>140</v>
      </c>
      <c r="Z2" s="8">
        <f>'Inputs and result'!E8</f>
        <v>20</v>
      </c>
      <c r="AB2" s="3">
        <v>10</v>
      </c>
      <c r="AD2" t="s">
        <v>150</v>
      </c>
    </row>
    <row r="3" spans="1:30" x14ac:dyDescent="0.45">
      <c r="A3" s="12" t="s">
        <v>28</v>
      </c>
      <c r="B3" s="13">
        <v>0.95</v>
      </c>
      <c r="F3" s="3" t="s">
        <v>13</v>
      </c>
      <c r="G3" s="3">
        <v>5.5</v>
      </c>
      <c r="H3" s="3">
        <v>2.7</v>
      </c>
      <c r="I3" s="3">
        <v>1.6</v>
      </c>
      <c r="J3" s="3">
        <v>1.1000000000000001</v>
      </c>
      <c r="K3" s="3">
        <v>0.85</v>
      </c>
      <c r="O3" s="3" t="s">
        <v>62</v>
      </c>
      <c r="P3" s="3">
        <v>37</v>
      </c>
      <c r="Q3" s="9">
        <f>P3/SQRT(1.5)</f>
        <v>30.210373494325864</v>
      </c>
      <c r="R3" s="3" t="s">
        <v>75</v>
      </c>
      <c r="T3" s="3" t="s">
        <v>92</v>
      </c>
      <c r="U3" s="8">
        <f>MAX(Z4:Z5)</f>
        <v>1.7075982864848429</v>
      </c>
      <c r="W3" s="3">
        <v>1</v>
      </c>
      <c r="Y3" s="5" t="s">
        <v>132</v>
      </c>
      <c r="Z3" s="8">
        <f>'Inputs and result'!E5/TAN(RADIANS(Calcul!Z2))</f>
        <v>1.3737387097273113</v>
      </c>
      <c r="AB3" s="3">
        <v>15</v>
      </c>
      <c r="AD3" t="s">
        <v>151</v>
      </c>
    </row>
    <row r="4" spans="1:30" x14ac:dyDescent="0.45">
      <c r="A4" s="3" t="s">
        <v>29</v>
      </c>
      <c r="B4" s="8">
        <v>0.65</v>
      </c>
      <c r="F4" s="3" t="s">
        <v>14</v>
      </c>
      <c r="G4" s="3">
        <v>11</v>
      </c>
      <c r="H4" s="3">
        <v>6.6</v>
      </c>
      <c r="I4" s="3">
        <v>4.4000000000000004</v>
      </c>
      <c r="J4" s="3">
        <v>2.7</v>
      </c>
      <c r="K4" s="3">
        <v>0.75</v>
      </c>
      <c r="O4" s="3" t="s">
        <v>88</v>
      </c>
      <c r="P4" s="9">
        <f>P3*SUMPRODUCT(Calcul!B7:B9,'Inputs and result'!B13:B15)/SUM('Inputs and result'!B13:B15)/B7*SUM('Inputs and result'!B13:B16)/350</f>
        <v>37</v>
      </c>
      <c r="Q4" s="9">
        <f>P4/SQRT(1.5)</f>
        <v>30.210373494325864</v>
      </c>
      <c r="R4" s="3">
        <v>1330</v>
      </c>
      <c r="T4" s="3" t="s">
        <v>93</v>
      </c>
      <c r="U4" s="8">
        <f>U3+Z3</f>
        <v>3.081336996212154</v>
      </c>
      <c r="W4" s="3">
        <v>2</v>
      </c>
      <c r="Y4" s="5" t="s">
        <v>133</v>
      </c>
      <c r="Z4" s="8">
        <f>(-6*Z3+SQRT((36*Z3^2)-12*(4*Z3^2-(3*U6/(PI()*U7)))))/6</f>
        <v>1.7075982864848429</v>
      </c>
      <c r="AB4" s="3">
        <v>20</v>
      </c>
    </row>
    <row r="5" spans="1:30" x14ac:dyDescent="0.45">
      <c r="A5" s="3" t="s">
        <v>24</v>
      </c>
      <c r="B5" s="8">
        <v>0.4</v>
      </c>
      <c r="F5" s="3" t="s">
        <v>15</v>
      </c>
      <c r="G5" s="5">
        <v>5.5</v>
      </c>
      <c r="H5" s="3">
        <v>1.1000000000000001</v>
      </c>
      <c r="I5" s="3">
        <v>0.8</v>
      </c>
      <c r="J5" s="3">
        <v>0.5</v>
      </c>
      <c r="K5" s="3">
        <v>0.85</v>
      </c>
      <c r="O5" s="3" t="s">
        <v>89</v>
      </c>
      <c r="P5" s="9">
        <f>0.5*(P4)+0.5*(P4/4)</f>
        <v>23.125</v>
      </c>
      <c r="Q5" s="9">
        <f t="shared" ref="Q5:Q6" si="0">P5/SQRT(1.5)</f>
        <v>18.881483433953665</v>
      </c>
      <c r="R5" s="3">
        <v>1415</v>
      </c>
      <c r="T5" s="3" t="s">
        <v>82</v>
      </c>
      <c r="U5" s="8">
        <f>VLOOKUP('Inputs and result'!E6,Calcul!O4:R6,4,FALSE)</f>
        <v>1330</v>
      </c>
      <c r="W5" s="3">
        <v>3</v>
      </c>
      <c r="Y5" s="5" t="s">
        <v>134</v>
      </c>
      <c r="Z5" s="8">
        <f>(-6*Z3-SQRT((36*Z3^2)-12*(4*Z3^2-(3*U6/(PI()*U7)))))/6</f>
        <v>-4.455075705939465</v>
      </c>
      <c r="AB5" s="3">
        <v>25</v>
      </c>
    </row>
    <row r="6" spans="1:30" x14ac:dyDescent="0.45">
      <c r="A6" s="3" t="s">
        <v>33</v>
      </c>
      <c r="B6" s="8">
        <v>0.25</v>
      </c>
      <c r="F6" s="3" t="s">
        <v>16</v>
      </c>
      <c r="G6" s="3">
        <v>11.6</v>
      </c>
      <c r="H6" s="3">
        <v>6.9</v>
      </c>
      <c r="I6" s="3">
        <v>4.5999999999999996</v>
      </c>
      <c r="J6" s="3">
        <v>2.7</v>
      </c>
      <c r="K6" s="3">
        <v>0.4</v>
      </c>
      <c r="O6" s="3" t="s">
        <v>90</v>
      </c>
      <c r="P6" s="9">
        <f>0.5*(P5)+0.5*(P5/4)</f>
        <v>14.453125</v>
      </c>
      <c r="Q6" s="9">
        <f t="shared" si="0"/>
        <v>11.800927146221042</v>
      </c>
      <c r="R6" s="3">
        <v>1475</v>
      </c>
      <c r="T6" s="3" t="s">
        <v>83</v>
      </c>
      <c r="U6" s="8">
        <f>'Inputs and result'!E10/U5*1000</f>
        <v>15.902255639097747</v>
      </c>
      <c r="W6" s="3">
        <v>4</v>
      </c>
    </row>
    <row r="7" spans="1:30" x14ac:dyDescent="0.45">
      <c r="A7" s="3" t="s">
        <v>19</v>
      </c>
      <c r="B7" s="8">
        <f>B3*B4*B2</f>
        <v>0.48517857142857135</v>
      </c>
      <c r="F7" s="3" t="s">
        <v>17</v>
      </c>
      <c r="G7" s="3">
        <v>16.5</v>
      </c>
      <c r="H7" s="3">
        <v>9.9</v>
      </c>
      <c r="I7" s="3">
        <v>6.6</v>
      </c>
      <c r="J7" s="3">
        <v>3.8</v>
      </c>
      <c r="K7" s="3">
        <v>0.4</v>
      </c>
      <c r="T7" s="3" t="s">
        <v>84</v>
      </c>
      <c r="U7" s="8">
        <f>'Inputs and result'!E5</f>
        <v>0.5</v>
      </c>
      <c r="W7" s="3">
        <v>5</v>
      </c>
    </row>
    <row r="8" spans="1:30" x14ac:dyDescent="0.45">
      <c r="A8" s="3" t="s">
        <v>18</v>
      </c>
      <c r="B8" s="8">
        <f>B5*B2</f>
        <v>0.31428571428571428</v>
      </c>
      <c r="F8" s="3" t="s">
        <v>21</v>
      </c>
      <c r="G8" s="3">
        <v>0.2</v>
      </c>
      <c r="H8" s="3">
        <v>0.2</v>
      </c>
      <c r="I8" s="3">
        <v>0.2</v>
      </c>
      <c r="J8" s="3">
        <v>0.2</v>
      </c>
      <c r="K8" s="3">
        <v>0.85</v>
      </c>
      <c r="T8" s="11" t="s">
        <v>52</v>
      </c>
      <c r="U8" s="8">
        <f>IF(((U16+U18)/U6)&gt;1,1,((U16+U18)/U6))</f>
        <v>0.46419007981351723</v>
      </c>
      <c r="W8" s="3">
        <v>6</v>
      </c>
    </row>
    <row r="9" spans="1:30" x14ac:dyDescent="0.45">
      <c r="A9" s="3" t="s">
        <v>20</v>
      </c>
      <c r="B9" s="8">
        <f>B2*B6</f>
        <v>0.19642857142857142</v>
      </c>
      <c r="T9" s="3" t="s">
        <v>54</v>
      </c>
      <c r="U9" s="8">
        <f>VLOOKUP('Inputs and result'!$E$6,Calcul!$O$4:$Q$6,3,FALSE)</f>
        <v>30.210373494325864</v>
      </c>
    </row>
    <row r="10" spans="1:30" x14ac:dyDescent="0.45">
      <c r="A10" s="3" t="s">
        <v>26</v>
      </c>
      <c r="B10" s="7">
        <f>'Inputs and result'!B14/SUM('Inputs and result'!$B$13:$B$16)</f>
        <v>0</v>
      </c>
      <c r="F10" s="44" t="s">
        <v>126</v>
      </c>
      <c r="G10" s="45"/>
      <c r="H10" s="45"/>
      <c r="I10" s="45"/>
      <c r="J10" s="45"/>
      <c r="K10" s="45"/>
      <c r="L10" s="45"/>
      <c r="M10" s="46"/>
      <c r="T10" s="3" t="s">
        <v>56</v>
      </c>
      <c r="U10" s="8">
        <f>MIN(U19,U9*U8*SQRT('Inputs and result'!$E$7)*B23)*IF('Inputs and result'!E9=Calcul!AD2,1,Calcul!K3/Calcul!K4)</f>
        <v>194.65037346846819</v>
      </c>
    </row>
    <row r="11" spans="1:30" x14ac:dyDescent="0.45">
      <c r="A11" s="3" t="s">
        <v>25</v>
      </c>
      <c r="B11" s="7">
        <f>'Inputs and result'!B15/SUM('Inputs and result'!$B$13:$B$16)</f>
        <v>0</v>
      </c>
      <c r="F11" s="3"/>
      <c r="G11" s="6">
        <v>0</v>
      </c>
      <c r="H11" s="7">
        <v>0.1</v>
      </c>
      <c r="I11" s="7">
        <v>0.2</v>
      </c>
      <c r="J11" s="6">
        <v>0.3</v>
      </c>
      <c r="K11" s="6">
        <v>0.4</v>
      </c>
      <c r="L11" s="6">
        <v>0.6</v>
      </c>
      <c r="M11" s="6">
        <v>0.8</v>
      </c>
      <c r="T11" s="5" t="s">
        <v>85</v>
      </c>
      <c r="U11" s="8">
        <f>SQRT('Inputs and result'!E5^2+Z3^2)</f>
        <v>1.4619022000815438</v>
      </c>
    </row>
    <row r="12" spans="1:30" x14ac:dyDescent="0.45">
      <c r="A12" s="3" t="s">
        <v>44</v>
      </c>
      <c r="B12" s="7">
        <f>'Inputs and result'!B16/SUM('Inputs and result'!$B$13:$B$16)</f>
        <v>0</v>
      </c>
      <c r="F12" s="3" t="s">
        <v>22</v>
      </c>
      <c r="G12" s="4">
        <v>1</v>
      </c>
      <c r="H12" s="3">
        <v>1.05</v>
      </c>
      <c r="I12" s="3">
        <v>1.05</v>
      </c>
      <c r="J12" s="4">
        <v>1.1000000000000001</v>
      </c>
      <c r="K12" s="4">
        <v>1.1000000000000001</v>
      </c>
      <c r="L12" s="4">
        <v>1.1000000000000001</v>
      </c>
      <c r="M12" s="4">
        <v>1.1000000000000001</v>
      </c>
      <c r="T12" s="5" t="s">
        <v>86</v>
      </c>
      <c r="U12" s="8">
        <f>PI()*(U14+U4)*(U11-U15)</f>
        <v>10.311860695821855</v>
      </c>
    </row>
    <row r="13" spans="1:30" x14ac:dyDescent="0.45">
      <c r="A13" s="3" t="s">
        <v>35</v>
      </c>
      <c r="B13" s="3">
        <f>IF(B10=0,1,HLOOKUP(B10,F11:M13,3,TRUE))</f>
        <v>1</v>
      </c>
      <c r="F13" s="3" t="s">
        <v>23</v>
      </c>
      <c r="G13" s="4">
        <v>1.05</v>
      </c>
      <c r="H13" s="3">
        <v>1.1000000000000001</v>
      </c>
      <c r="I13" s="3">
        <v>1.1499999999999999</v>
      </c>
      <c r="J13" s="4">
        <v>1.2</v>
      </c>
      <c r="K13" s="4">
        <v>1.25</v>
      </c>
      <c r="L13" s="4">
        <v>1.3</v>
      </c>
      <c r="M13" s="4">
        <v>1.3</v>
      </c>
      <c r="T13" s="22" t="s">
        <v>95</v>
      </c>
      <c r="U13" s="28">
        <f>IF(U7&gt;=0.3,0.3,U7)</f>
        <v>0.3</v>
      </c>
    </row>
    <row r="14" spans="1:30" x14ac:dyDescent="0.45">
      <c r="A14" s="3" t="s">
        <v>34</v>
      </c>
      <c r="B14" s="3">
        <f>IF(B11=0,1,HLOOKUP(B11,F11:M13,2,TRUE))</f>
        <v>1</v>
      </c>
      <c r="F14" s="3" t="s">
        <v>42</v>
      </c>
      <c r="G14" s="5">
        <v>1</v>
      </c>
      <c r="H14" s="3">
        <v>1.05</v>
      </c>
      <c r="I14" s="3">
        <v>1.1000000000000001</v>
      </c>
      <c r="J14" s="3">
        <v>1.1000000000000001</v>
      </c>
      <c r="K14" s="3">
        <v>1.1000000000000001</v>
      </c>
      <c r="L14" s="3">
        <v>1.1000000000000001</v>
      </c>
      <c r="M14" s="3">
        <v>1.1000000000000001</v>
      </c>
      <c r="T14" s="5" t="s">
        <v>96</v>
      </c>
      <c r="U14" s="8">
        <f>U3+(U4-U3)*U13/U7</f>
        <v>2.5318415123212294</v>
      </c>
    </row>
    <row r="15" spans="1:30" x14ac:dyDescent="0.45">
      <c r="A15" s="3" t="s">
        <v>45</v>
      </c>
      <c r="B15" s="3">
        <f>IF(B12=0,1,HLOOKUP(B12,F11:M14,4,TRUE))</f>
        <v>1</v>
      </c>
      <c r="T15" s="5" t="s">
        <v>98</v>
      </c>
      <c r="U15" s="8">
        <f>SQRT((U14-U3)^2+U13^2)</f>
        <v>0.87714132004892598</v>
      </c>
      <c r="X15" s="29"/>
    </row>
    <row r="16" spans="1:30" x14ac:dyDescent="0.45">
      <c r="A16" s="3" t="s">
        <v>30</v>
      </c>
      <c r="B16" s="9">
        <f>H17*IFERROR((B10*B13+B11*B14+B12*B15)/SUM(B10:B12),1)</f>
        <v>6.6</v>
      </c>
      <c r="F16" s="47" t="s">
        <v>127</v>
      </c>
      <c r="G16" s="47"/>
      <c r="H16" s="47"/>
      <c r="I16" s="47"/>
      <c r="J16" s="47"/>
      <c r="K16" s="47"/>
      <c r="T16" s="5" t="s">
        <v>94</v>
      </c>
      <c r="U16" s="8">
        <f>U13*PI()/3*(U3^2+(U3*U14)+U14^2)</f>
        <v>4.2881111055811809</v>
      </c>
    </row>
    <row r="17" spans="1:21" x14ac:dyDescent="0.45">
      <c r="A17" s="3" t="s">
        <v>31</v>
      </c>
      <c r="B17" s="9">
        <f>H18*IFERROR((B10*B13+B11*B14+B12*B15)/SUM(B10:B12),1)</f>
        <v>6.6</v>
      </c>
      <c r="F17" s="30" t="s">
        <v>38</v>
      </c>
      <c r="G17" s="30" t="str">
        <f>'Inputs and result'!B8</f>
        <v>Indoor (without cover)</v>
      </c>
      <c r="H17" s="30">
        <f t="array" ref="H17">INDEX($G$3:$J$8, MATCH(G17,$F$3:$F$8,0),MATCH(G19,$G$2:$J$2,0))</f>
        <v>6.6</v>
      </c>
      <c r="T17" s="5" t="s">
        <v>97</v>
      </c>
      <c r="U17" s="8">
        <f>IF(((U7-U13)/(U11-U15)*U14)&lt;0.3,(U7-U13)/(U11-U15)*U14,0.3)</f>
        <v>0.3</v>
      </c>
    </row>
    <row r="18" spans="1:21" x14ac:dyDescent="0.45">
      <c r="A18" s="3" t="s">
        <v>36</v>
      </c>
      <c r="B18" s="8">
        <f>B16*SQRT('Inputs and result'!B4)*SUMPRODUCT(Calcul!B7:B9,'Inputs and result'!B13:B15)*VLOOKUP('Inputs and result'!B8,F3:K8,6,FALSE)/1000</f>
        <v>4.4830499999999995</v>
      </c>
      <c r="F18" s="3" t="s">
        <v>39</v>
      </c>
      <c r="G18" s="3" t="str">
        <f>'Inputs and result'!B10</f>
        <v>Indoor (without cover)</v>
      </c>
      <c r="H18" s="3">
        <f t="array" ref="H18">INDEX($G$3:$J$8, MATCH(G18,$F$3:$F$8,0),MATCH(G19,$G$2:$J$2,0))</f>
        <v>6.6</v>
      </c>
      <c r="T18" s="5" t="s">
        <v>87</v>
      </c>
      <c r="U18" s="8">
        <f>U12*U17</f>
        <v>3.0935582087465563</v>
      </c>
    </row>
    <row r="19" spans="1:21" x14ac:dyDescent="0.45">
      <c r="A19" s="3" t="s">
        <v>37</v>
      </c>
      <c r="B19" s="8">
        <f>B17*SQRT('Inputs and result'!B4)*SUMPRODUCT(Calcul!B7:B9,'Inputs and result'!B13:B15)*VLOOKUP('Inputs and result'!B10,F3:K8,6,FALSE)/1000</f>
        <v>4.4830499999999995</v>
      </c>
      <c r="F19" s="3" t="s">
        <v>40</v>
      </c>
      <c r="G19" s="3" t="str">
        <f>'Inputs and result'!B12</f>
        <v>25-35 MPa</v>
      </c>
      <c r="H19" s="3"/>
      <c r="T19" s="5" t="s">
        <v>136</v>
      </c>
      <c r="U19" s="8">
        <f>B23/'Inputs and result'!B6*(U8*'Inputs and result'!E10/U21*SUMPRODUCT(B7:B9,'Inputs and result'!B13:B15)*IF('Inputs and result'!E9=Calcul!AD2,Calcul!K4,Calcul!K3))</f>
        <v>603.01337615174657</v>
      </c>
    </row>
    <row r="20" spans="1:21" x14ac:dyDescent="0.45">
      <c r="A20" s="5" t="s">
        <v>60</v>
      </c>
      <c r="B20" s="8">
        <f>B18/SQRT('Inputs and result'!$B$4)*'Inputs and result'!$B$7</f>
        <v>0</v>
      </c>
      <c r="T20" s="5" t="s">
        <v>137</v>
      </c>
      <c r="U20" s="7">
        <v>0.9</v>
      </c>
    </row>
    <row r="21" spans="1:21" x14ac:dyDescent="0.45">
      <c r="A21" s="5" t="s">
        <v>61</v>
      </c>
      <c r="B21" s="8">
        <f>B19/SQRT('Inputs and result'!$B$4)*'Inputs and result'!$B$9</f>
        <v>0</v>
      </c>
      <c r="T21" s="5" t="s">
        <v>139</v>
      </c>
      <c r="U21" s="3">
        <v>2.35</v>
      </c>
    </row>
    <row r="22" spans="1:21" x14ac:dyDescent="0.45">
      <c r="A22" s="5" t="s">
        <v>129</v>
      </c>
      <c r="B22" s="3">
        <f>SUMPRODUCT(Calcul!B7:B9,'Inputs and result'!B13:B15)*VLOOKUP('Inputs and result'!B8,F3:K8,6,FALSE)</f>
        <v>67.924999999999997</v>
      </c>
      <c r="F22" t="s">
        <v>58</v>
      </c>
    </row>
    <row r="23" spans="1:21" x14ac:dyDescent="0.45">
      <c r="A23" s="22" t="s">
        <v>147</v>
      </c>
      <c r="B23">
        <f>'Inputs and result'!B6-(B16*'Inputs and result'!B7*SQRT('Inputs and result'!B4)/1000)+(B17*'Inputs and result'!B9*SQRT('Inputs and result'!B4)/1000)</f>
        <v>10</v>
      </c>
      <c r="F23" t="s">
        <v>59</v>
      </c>
      <c r="G23" t="s">
        <v>63</v>
      </c>
      <c r="H23" t="s">
        <v>64</v>
      </c>
    </row>
    <row r="24" spans="1:21" x14ac:dyDescent="0.45">
      <c r="A24" s="22"/>
      <c r="F24">
        <v>1</v>
      </c>
      <c r="G24" s="10">
        <f>IF(F24&gt;'Inputs and result'!$B$4,0,SUM($B$20:$B$21)*SQRT(F24))</f>
        <v>0</v>
      </c>
      <c r="H24">
        <f>IF($U$3&gt;0,I24,0)</f>
        <v>0</v>
      </c>
      <c r="I24" s="10">
        <f>IF((IF(F24&lt;='Inputs and result'!$B$4,0,IF((F24-'Inputs and result'!$B$4)&lt;'Inputs and result'!$E$7+1,G24+$U$9*SQRT(Calcul!F24-'Inputs and result'!$B$4)*$U$8*$U$6,0)))&gt;$U$19,$U$19,(IF(F24&lt;='Inputs and result'!$B$4,0,IF((F24-'Inputs and result'!$B$4)&lt;'Inputs and result'!$E$7+1,G24+$U$9*SQRT(Calcul!F24-'Inputs and result'!$B$4)*$U$8*$U$6,0))))</f>
        <v>0</v>
      </c>
    </row>
    <row r="25" spans="1:21" x14ac:dyDescent="0.45">
      <c r="F25">
        <v>2</v>
      </c>
      <c r="G25" s="10">
        <f>IF(F25&gt;'Inputs and result'!$B$4,0,SUM($B$20:$B$21)*SQRT(F25))</f>
        <v>0</v>
      </c>
      <c r="H25">
        <f t="shared" ref="H25:H88" si="1">IF($U$3&gt;0,I25,0)</f>
        <v>0</v>
      </c>
      <c r="I25" s="10">
        <f>IF((IF(F25&lt;='Inputs and result'!$B$4,0,IF((F25-'Inputs and result'!$B$4)&lt;'Inputs and result'!$E$7+1,G25+$U$9*SQRT(Calcul!F25-'Inputs and result'!$B$4)*$U$8*$U$6,0)))&gt;$U$19,$U$19,(IF(F25&lt;='Inputs and result'!$B$4,0,IF((F25-'Inputs and result'!$B$4)&lt;'Inputs and result'!$E$7+1,G25+$U$9*SQRT(Calcul!F25-'Inputs and result'!$B$4)*$U$8*$U$6,0))))</f>
        <v>0</v>
      </c>
    </row>
    <row r="26" spans="1:21" x14ac:dyDescent="0.45">
      <c r="F26">
        <v>3</v>
      </c>
      <c r="G26" s="10">
        <f>IF(F26&gt;'Inputs and result'!$B$4,0,SUM($B$20:$B$21)*SQRT(F26))</f>
        <v>0</v>
      </c>
      <c r="H26">
        <f t="shared" si="1"/>
        <v>0</v>
      </c>
      <c r="I26" s="10">
        <f>IF((IF(F26&lt;='Inputs and result'!$B$4,0,IF((F26-'Inputs and result'!$B$4)&lt;'Inputs and result'!$E$7+1,G26+$U$9*SQRT(Calcul!F26-'Inputs and result'!$B$4)*$U$8*$U$6,0)))&gt;$U$19,$U$19,(IF(F26&lt;='Inputs and result'!$B$4,0,IF((F26-'Inputs and result'!$B$4)&lt;'Inputs and result'!$E$7+1,G26+$U$9*SQRT(Calcul!F26-'Inputs and result'!$B$4)*$U$8*$U$6,0))))</f>
        <v>0</v>
      </c>
    </row>
    <row r="27" spans="1:21" x14ac:dyDescent="0.45">
      <c r="F27">
        <v>4</v>
      </c>
      <c r="G27" s="10">
        <f>IF(F27&gt;'Inputs and result'!$B$4,0,SUM($B$20:$B$21)*SQRT(F27))</f>
        <v>0</v>
      </c>
      <c r="H27">
        <f t="shared" si="1"/>
        <v>0</v>
      </c>
      <c r="I27" s="10">
        <f>IF((IF(F27&lt;='Inputs and result'!$B$4,0,IF((F27-'Inputs and result'!$B$4)&lt;'Inputs and result'!$E$7+1,G27+$U$9*SQRT(Calcul!F27-'Inputs and result'!$B$4)*$U$8*$U$6,0)))&gt;$U$19,$U$19,(IF(F27&lt;='Inputs and result'!$B$4,0,IF((F27-'Inputs and result'!$B$4)&lt;'Inputs and result'!$E$7+1,G27+$U$9*SQRT(Calcul!F27-'Inputs and result'!$B$4)*$U$8*$U$6,0))))</f>
        <v>0</v>
      </c>
    </row>
    <row r="28" spans="1:21" x14ac:dyDescent="0.45">
      <c r="F28">
        <v>5</v>
      </c>
      <c r="G28" s="10">
        <f>IF(F28&gt;'Inputs and result'!$B$4,0,SUM($B$20:$B$21)*SQRT(F28))</f>
        <v>0</v>
      </c>
      <c r="H28">
        <f t="shared" si="1"/>
        <v>0</v>
      </c>
      <c r="I28" s="10">
        <f>IF((IF(F28&lt;='Inputs and result'!$B$4,0,IF((F28-'Inputs and result'!$B$4)&lt;'Inputs and result'!$E$7+1,G28+$U$9*SQRT(Calcul!F28-'Inputs and result'!$B$4)*$U$8*$U$6,0)))&gt;$U$19,$U$19,(IF(F28&lt;='Inputs and result'!$B$4,0,IF((F28-'Inputs and result'!$B$4)&lt;'Inputs and result'!$E$7+1,G28+$U$9*SQRT(Calcul!F28-'Inputs and result'!$B$4)*$U$8*$U$6,0))))</f>
        <v>0</v>
      </c>
    </row>
    <row r="29" spans="1:21" x14ac:dyDescent="0.45">
      <c r="F29">
        <v>6</v>
      </c>
      <c r="G29" s="10">
        <f>IF(F29&gt;'Inputs and result'!$B$4,0,SUM($B$20:$B$21)*SQRT(F29))</f>
        <v>0</v>
      </c>
      <c r="H29">
        <f t="shared" si="1"/>
        <v>0</v>
      </c>
      <c r="I29" s="10">
        <f>IF((IF(F29&lt;='Inputs and result'!$B$4,0,IF((F29-'Inputs and result'!$B$4)&lt;'Inputs and result'!$E$7+1,G29+$U$9*SQRT(Calcul!F29-'Inputs and result'!$B$4)*$U$8*$U$6,0)))&gt;$U$19,$U$19,(IF(F29&lt;='Inputs and result'!$B$4,0,IF((F29-'Inputs and result'!$B$4)&lt;'Inputs and result'!$E$7+1,G29+$U$9*SQRT(Calcul!F29-'Inputs and result'!$B$4)*$U$8*$U$6,0))))</f>
        <v>0</v>
      </c>
    </row>
    <row r="30" spans="1:21" x14ac:dyDescent="0.45">
      <c r="F30">
        <v>7</v>
      </c>
      <c r="G30" s="10">
        <f>IF(F30&gt;'Inputs and result'!$B$4,0,SUM($B$20:$B$21)*SQRT(F30))</f>
        <v>0</v>
      </c>
      <c r="H30">
        <f t="shared" si="1"/>
        <v>0</v>
      </c>
      <c r="I30" s="10">
        <f>IF((IF(F30&lt;='Inputs and result'!$B$4,0,IF((F30-'Inputs and result'!$B$4)&lt;'Inputs and result'!$E$7+1,G30+$U$9*SQRT(Calcul!F30-'Inputs and result'!$B$4)*$U$8*$U$6,0)))&gt;$U$19,$U$19,(IF(F30&lt;='Inputs and result'!$B$4,0,IF((F30-'Inputs and result'!$B$4)&lt;'Inputs and result'!$E$7+1,G30+$U$9*SQRT(Calcul!F30-'Inputs and result'!$B$4)*$U$8*$U$6,0))))</f>
        <v>0</v>
      </c>
    </row>
    <row r="31" spans="1:21" x14ac:dyDescent="0.45">
      <c r="F31">
        <v>8</v>
      </c>
      <c r="G31" s="10">
        <f>IF(F31&gt;'Inputs and result'!$B$4,0,SUM($B$20:$B$21)*SQRT(F31))</f>
        <v>0</v>
      </c>
      <c r="H31">
        <f t="shared" si="1"/>
        <v>0</v>
      </c>
      <c r="I31" s="10">
        <f>IF((IF(F31&lt;='Inputs and result'!$B$4,0,IF((F31-'Inputs and result'!$B$4)&lt;'Inputs and result'!$E$7+1,G31+$U$9*SQRT(Calcul!F31-'Inputs and result'!$B$4)*$U$8*$U$6,0)))&gt;$U$19,$U$19,(IF(F31&lt;='Inputs and result'!$B$4,0,IF((F31-'Inputs and result'!$B$4)&lt;'Inputs and result'!$E$7+1,G31+$U$9*SQRT(Calcul!F31-'Inputs and result'!$B$4)*$U$8*$U$6,0))))</f>
        <v>0</v>
      </c>
    </row>
    <row r="32" spans="1:21" x14ac:dyDescent="0.45">
      <c r="F32">
        <v>9</v>
      </c>
      <c r="G32" s="10">
        <f>IF(F32&gt;'Inputs and result'!$B$4,0,SUM($B$20:$B$21)*SQRT(F32))</f>
        <v>0</v>
      </c>
      <c r="H32">
        <f t="shared" si="1"/>
        <v>0</v>
      </c>
      <c r="I32" s="10">
        <f>IF((IF(F32&lt;='Inputs and result'!$B$4,0,IF((F32-'Inputs and result'!$B$4)&lt;'Inputs and result'!$E$7+1,G32+$U$9*SQRT(Calcul!F32-'Inputs and result'!$B$4)*$U$8*$U$6,0)))&gt;$U$19,$U$19,(IF(F32&lt;='Inputs and result'!$B$4,0,IF((F32-'Inputs and result'!$B$4)&lt;'Inputs and result'!$E$7+1,G32+$U$9*SQRT(Calcul!F32-'Inputs and result'!$B$4)*$U$8*$U$6,0))))</f>
        <v>0</v>
      </c>
    </row>
    <row r="33" spans="6:9" x14ac:dyDescent="0.45">
      <c r="F33">
        <v>10</v>
      </c>
      <c r="G33" s="10">
        <f>IF(F33&gt;'Inputs and result'!$B$4,0,SUM($B$20:$B$21)*SQRT(F33))</f>
        <v>0</v>
      </c>
      <c r="H33">
        <f t="shared" si="1"/>
        <v>0</v>
      </c>
      <c r="I33" s="10">
        <f>IF((IF(F33&lt;='Inputs and result'!$B$4,0,IF((F33-'Inputs and result'!$B$4)&lt;'Inputs and result'!$E$7+1,G33+$U$9*SQRT(Calcul!F33-'Inputs and result'!$B$4)*$U$8*$U$6,0)))&gt;$U$19,$U$19,(IF(F33&lt;='Inputs and result'!$B$4,0,IF((F33-'Inputs and result'!$B$4)&lt;'Inputs and result'!$E$7+1,G33+$U$9*SQRT(Calcul!F33-'Inputs and result'!$B$4)*$U$8*$U$6,0))))</f>
        <v>0</v>
      </c>
    </row>
    <row r="34" spans="6:9" x14ac:dyDescent="0.45">
      <c r="F34">
        <v>11</v>
      </c>
      <c r="G34" s="10">
        <f>IF(F34&gt;'Inputs and result'!$B$4,0,SUM($B$20:$B$21)*SQRT(F34))</f>
        <v>0</v>
      </c>
      <c r="H34">
        <f t="shared" si="1"/>
        <v>0</v>
      </c>
      <c r="I34" s="10">
        <f>IF((IF(F34&lt;='Inputs and result'!$B$4,0,IF((F34-'Inputs and result'!$B$4)&lt;'Inputs and result'!$E$7+1,G34+$U$9*SQRT(Calcul!F34-'Inputs and result'!$B$4)*$U$8*$U$6,0)))&gt;$U$19,$U$19,(IF(F34&lt;='Inputs and result'!$B$4,0,IF((F34-'Inputs and result'!$B$4)&lt;'Inputs and result'!$E$7+1,G34+$U$9*SQRT(Calcul!F34-'Inputs and result'!$B$4)*$U$8*$U$6,0))))</f>
        <v>0</v>
      </c>
    </row>
    <row r="35" spans="6:9" x14ac:dyDescent="0.45">
      <c r="F35">
        <v>12</v>
      </c>
      <c r="G35" s="10">
        <f>IF(F35&gt;'Inputs and result'!$B$4,0,SUM($B$20:$B$21)*SQRT(F35))</f>
        <v>0</v>
      </c>
      <c r="H35">
        <f t="shared" si="1"/>
        <v>0</v>
      </c>
      <c r="I35" s="10">
        <f>IF((IF(F35&lt;='Inputs and result'!$B$4,0,IF((F35-'Inputs and result'!$B$4)&lt;'Inputs and result'!$E$7+1,G35+$U$9*SQRT(Calcul!F35-'Inputs and result'!$B$4)*$U$8*$U$6,0)))&gt;$U$19,$U$19,(IF(F35&lt;='Inputs and result'!$B$4,0,IF((F35-'Inputs and result'!$B$4)&lt;'Inputs and result'!$E$7+1,G35+$U$9*SQRT(Calcul!F35-'Inputs and result'!$B$4)*$U$8*$U$6,0))))</f>
        <v>0</v>
      </c>
    </row>
    <row r="36" spans="6:9" x14ac:dyDescent="0.45">
      <c r="F36">
        <v>13</v>
      </c>
      <c r="G36" s="10">
        <f>IF(F36&gt;'Inputs and result'!$B$4,0,SUM($B$20:$B$21)*SQRT(F36))</f>
        <v>0</v>
      </c>
      <c r="H36">
        <f t="shared" si="1"/>
        <v>0</v>
      </c>
      <c r="I36" s="10">
        <f>IF((IF(F36&lt;='Inputs and result'!$B$4,0,IF((F36-'Inputs and result'!$B$4)&lt;'Inputs and result'!$E$7+1,G36+$U$9*SQRT(Calcul!F36-'Inputs and result'!$B$4)*$U$8*$U$6,0)))&gt;$U$19,$U$19,(IF(F36&lt;='Inputs and result'!$B$4,0,IF((F36-'Inputs and result'!$B$4)&lt;'Inputs and result'!$E$7+1,G36+$U$9*SQRT(Calcul!F36-'Inputs and result'!$B$4)*$U$8*$U$6,0))))</f>
        <v>0</v>
      </c>
    </row>
    <row r="37" spans="6:9" x14ac:dyDescent="0.45">
      <c r="F37">
        <v>14</v>
      </c>
      <c r="G37" s="10">
        <f>IF(F37&gt;'Inputs and result'!$B$4,0,SUM($B$20:$B$21)*SQRT(F37))</f>
        <v>0</v>
      </c>
      <c r="H37">
        <f t="shared" si="1"/>
        <v>0</v>
      </c>
      <c r="I37" s="10">
        <f>IF((IF(F37&lt;='Inputs and result'!$B$4,0,IF((F37-'Inputs and result'!$B$4)&lt;'Inputs and result'!$E$7+1,G37+$U$9*SQRT(Calcul!F37-'Inputs and result'!$B$4)*$U$8*$U$6,0)))&gt;$U$19,$U$19,(IF(F37&lt;='Inputs and result'!$B$4,0,IF((F37-'Inputs and result'!$B$4)&lt;'Inputs and result'!$E$7+1,G37+$U$9*SQRT(Calcul!F37-'Inputs and result'!$B$4)*$U$8*$U$6,0))))</f>
        <v>0</v>
      </c>
    </row>
    <row r="38" spans="6:9" x14ac:dyDescent="0.45">
      <c r="F38">
        <v>15</v>
      </c>
      <c r="G38" s="10">
        <f>IF(F38&gt;'Inputs and result'!$B$4,0,SUM($B$20:$B$21)*SQRT(F38))</f>
        <v>0</v>
      </c>
      <c r="H38">
        <f t="shared" si="1"/>
        <v>0</v>
      </c>
      <c r="I38" s="10">
        <f>IF((IF(F38&lt;='Inputs and result'!$B$4,0,IF((F38-'Inputs and result'!$B$4)&lt;'Inputs and result'!$E$7+1,G38+$U$9*SQRT(Calcul!F38-'Inputs and result'!$B$4)*$U$8*$U$6,0)))&gt;$U$19,$U$19,(IF(F38&lt;='Inputs and result'!$B$4,0,IF((F38-'Inputs and result'!$B$4)&lt;'Inputs and result'!$E$7+1,G38+$U$9*SQRT(Calcul!F38-'Inputs and result'!$B$4)*$U$8*$U$6,0))))</f>
        <v>0</v>
      </c>
    </row>
    <row r="39" spans="6:9" x14ac:dyDescent="0.45">
      <c r="F39">
        <v>16</v>
      </c>
      <c r="G39" s="10">
        <f>IF(F39&gt;'Inputs and result'!$B$4,0,SUM($B$20:$B$21)*SQRT(F39))</f>
        <v>0</v>
      </c>
      <c r="H39">
        <f t="shared" si="1"/>
        <v>0</v>
      </c>
      <c r="I39" s="10">
        <f>IF((IF(F39&lt;='Inputs and result'!$B$4,0,IF((F39-'Inputs and result'!$B$4)&lt;'Inputs and result'!$E$7+1,G39+$U$9*SQRT(Calcul!F39-'Inputs and result'!$B$4)*$U$8*$U$6,0)))&gt;$U$19,$U$19,(IF(F39&lt;='Inputs and result'!$B$4,0,IF((F39-'Inputs and result'!$B$4)&lt;'Inputs and result'!$E$7+1,G39+$U$9*SQRT(Calcul!F39-'Inputs and result'!$B$4)*$U$8*$U$6,0))))</f>
        <v>0</v>
      </c>
    </row>
    <row r="40" spans="6:9" x14ac:dyDescent="0.45">
      <c r="F40">
        <v>17</v>
      </c>
      <c r="G40" s="10">
        <f>IF(F40&gt;'Inputs and result'!$B$4,0,SUM($B$20:$B$21)*SQRT(F40))</f>
        <v>0</v>
      </c>
      <c r="H40">
        <f t="shared" si="1"/>
        <v>0</v>
      </c>
      <c r="I40" s="10">
        <f>IF((IF(F40&lt;='Inputs and result'!$B$4,0,IF((F40-'Inputs and result'!$B$4)&lt;'Inputs and result'!$E$7+1,G40+$U$9*SQRT(Calcul!F40-'Inputs and result'!$B$4)*$U$8*$U$6,0)))&gt;$U$19,$U$19,(IF(F40&lt;='Inputs and result'!$B$4,0,IF((F40-'Inputs and result'!$B$4)&lt;'Inputs and result'!$E$7+1,G40+$U$9*SQRT(Calcul!F40-'Inputs and result'!$B$4)*$U$8*$U$6,0))))</f>
        <v>0</v>
      </c>
    </row>
    <row r="41" spans="6:9" x14ac:dyDescent="0.45">
      <c r="F41">
        <v>18</v>
      </c>
      <c r="G41" s="10">
        <f>IF(F41&gt;'Inputs and result'!$B$4,0,SUM($B$20:$B$21)*SQRT(F41))</f>
        <v>0</v>
      </c>
      <c r="H41">
        <f t="shared" si="1"/>
        <v>0</v>
      </c>
      <c r="I41" s="10">
        <f>IF((IF(F41&lt;='Inputs and result'!$B$4,0,IF((F41-'Inputs and result'!$B$4)&lt;'Inputs and result'!$E$7+1,G41+$U$9*SQRT(Calcul!F41-'Inputs and result'!$B$4)*$U$8*$U$6,0)))&gt;$U$19,$U$19,(IF(F41&lt;='Inputs and result'!$B$4,0,IF((F41-'Inputs and result'!$B$4)&lt;'Inputs and result'!$E$7+1,G41+$U$9*SQRT(Calcul!F41-'Inputs and result'!$B$4)*$U$8*$U$6,0))))</f>
        <v>0</v>
      </c>
    </row>
    <row r="42" spans="6:9" x14ac:dyDescent="0.45">
      <c r="F42">
        <v>19</v>
      </c>
      <c r="G42" s="10">
        <f>IF(F42&gt;'Inputs and result'!$B$4,0,SUM($B$20:$B$21)*SQRT(F42))</f>
        <v>0</v>
      </c>
      <c r="H42">
        <f t="shared" si="1"/>
        <v>0</v>
      </c>
      <c r="I42" s="10">
        <f>IF((IF(F42&lt;='Inputs and result'!$B$4,0,IF((F42-'Inputs and result'!$B$4)&lt;'Inputs and result'!$E$7+1,G42+$U$9*SQRT(Calcul!F42-'Inputs and result'!$B$4)*$U$8*$U$6,0)))&gt;$U$19,$U$19,(IF(F42&lt;='Inputs and result'!$B$4,0,IF((F42-'Inputs and result'!$B$4)&lt;'Inputs and result'!$E$7+1,G42+$U$9*SQRT(Calcul!F42-'Inputs and result'!$B$4)*$U$8*$U$6,0))))</f>
        <v>0</v>
      </c>
    </row>
    <row r="43" spans="6:9" x14ac:dyDescent="0.45">
      <c r="F43">
        <v>20</v>
      </c>
      <c r="G43" s="10">
        <f>IF(F43&gt;'Inputs and result'!$B$4,0,SUM($B$20:$B$21)*SQRT(F43))</f>
        <v>0</v>
      </c>
      <c r="H43">
        <f t="shared" si="1"/>
        <v>0</v>
      </c>
      <c r="I43" s="10">
        <f>IF((IF(F43&lt;='Inputs and result'!$B$4,0,IF((F43-'Inputs and result'!$B$4)&lt;'Inputs and result'!$E$7+1,G43+$U$9*SQRT(Calcul!F43-'Inputs and result'!$B$4)*$U$8*$U$6,0)))&gt;$U$19,$U$19,(IF(F43&lt;='Inputs and result'!$B$4,0,IF((F43-'Inputs and result'!$B$4)&lt;'Inputs and result'!$E$7+1,G43+$U$9*SQRT(Calcul!F43-'Inputs and result'!$B$4)*$U$8*$U$6,0))))</f>
        <v>0</v>
      </c>
    </row>
    <row r="44" spans="6:9" x14ac:dyDescent="0.45">
      <c r="F44">
        <v>21</v>
      </c>
      <c r="G44" s="10">
        <f>IF(F44&gt;'Inputs and result'!$B$4,0,SUM($B$20:$B$21)*SQRT(F44))</f>
        <v>0</v>
      </c>
      <c r="H44">
        <f t="shared" si="1"/>
        <v>0</v>
      </c>
      <c r="I44" s="10">
        <f>IF((IF(F44&lt;='Inputs and result'!$B$4,0,IF((F44-'Inputs and result'!$B$4)&lt;'Inputs and result'!$E$7+1,G44+$U$9*SQRT(Calcul!F44-'Inputs and result'!$B$4)*$U$8*$U$6,0)))&gt;$U$19,$U$19,(IF(F44&lt;='Inputs and result'!$B$4,0,IF((F44-'Inputs and result'!$B$4)&lt;'Inputs and result'!$E$7+1,G44+$U$9*SQRT(Calcul!F44-'Inputs and result'!$B$4)*$U$8*$U$6,0))))</f>
        <v>0</v>
      </c>
    </row>
    <row r="45" spans="6:9" x14ac:dyDescent="0.45">
      <c r="F45">
        <v>22</v>
      </c>
      <c r="G45" s="10">
        <f>IF(F45&gt;'Inputs and result'!$B$4,0,SUM($B$20:$B$21)*SQRT(F45))</f>
        <v>0</v>
      </c>
      <c r="H45">
        <f t="shared" si="1"/>
        <v>0</v>
      </c>
      <c r="I45" s="10">
        <f>IF((IF(F45&lt;='Inputs and result'!$B$4,0,IF((F45-'Inputs and result'!$B$4)&lt;'Inputs and result'!$E$7+1,G45+$U$9*SQRT(Calcul!F45-'Inputs and result'!$B$4)*$U$8*$U$6,0)))&gt;$U$19,$U$19,(IF(F45&lt;='Inputs and result'!$B$4,0,IF((F45-'Inputs and result'!$B$4)&lt;'Inputs and result'!$E$7+1,G45+$U$9*SQRT(Calcul!F45-'Inputs and result'!$B$4)*$U$8*$U$6,0))))</f>
        <v>0</v>
      </c>
    </row>
    <row r="46" spans="6:9" x14ac:dyDescent="0.45">
      <c r="F46">
        <v>23</v>
      </c>
      <c r="G46" s="10">
        <f>IF(F46&gt;'Inputs and result'!$B$4,0,SUM($B$20:$B$21)*SQRT(F46))</f>
        <v>0</v>
      </c>
      <c r="H46">
        <f t="shared" si="1"/>
        <v>0</v>
      </c>
      <c r="I46" s="10">
        <f>IF((IF(F46&lt;='Inputs and result'!$B$4,0,IF((F46-'Inputs and result'!$B$4)&lt;'Inputs and result'!$E$7+1,G46+$U$9*SQRT(Calcul!F46-'Inputs and result'!$B$4)*$U$8*$U$6,0)))&gt;$U$19,$U$19,(IF(F46&lt;='Inputs and result'!$B$4,0,IF((F46-'Inputs and result'!$B$4)&lt;'Inputs and result'!$E$7+1,G46+$U$9*SQRT(Calcul!F46-'Inputs and result'!$B$4)*$U$8*$U$6,0))))</f>
        <v>0</v>
      </c>
    </row>
    <row r="47" spans="6:9" x14ac:dyDescent="0.45">
      <c r="F47">
        <v>24</v>
      </c>
      <c r="G47" s="10">
        <f>IF(F47&gt;'Inputs and result'!$B$4,0,SUM($B$20:$B$21)*SQRT(F47))</f>
        <v>0</v>
      </c>
      <c r="H47">
        <f t="shared" si="1"/>
        <v>0</v>
      </c>
      <c r="I47" s="10">
        <f>IF((IF(F47&lt;='Inputs and result'!$B$4,0,IF((F47-'Inputs and result'!$B$4)&lt;'Inputs and result'!$E$7+1,G47+$U$9*SQRT(Calcul!F47-'Inputs and result'!$B$4)*$U$8*$U$6,0)))&gt;$U$19,$U$19,(IF(F47&lt;='Inputs and result'!$B$4,0,IF((F47-'Inputs and result'!$B$4)&lt;'Inputs and result'!$E$7+1,G47+$U$9*SQRT(Calcul!F47-'Inputs and result'!$B$4)*$U$8*$U$6,0))))</f>
        <v>0</v>
      </c>
    </row>
    <row r="48" spans="6:9" x14ac:dyDescent="0.45">
      <c r="F48">
        <v>25</v>
      </c>
      <c r="G48" s="10">
        <f>IF(F48&gt;'Inputs and result'!$B$4,0,SUM($B$20:$B$21)*SQRT(F48))</f>
        <v>0</v>
      </c>
      <c r="H48">
        <f t="shared" si="1"/>
        <v>0</v>
      </c>
      <c r="I48" s="10">
        <f>IF((IF(F48&lt;='Inputs and result'!$B$4,0,IF((F48-'Inputs and result'!$B$4)&lt;'Inputs and result'!$E$7+1,G48+$U$9*SQRT(Calcul!F48-'Inputs and result'!$B$4)*$U$8*$U$6,0)))&gt;$U$19,$U$19,(IF(F48&lt;='Inputs and result'!$B$4,0,IF((F48-'Inputs and result'!$B$4)&lt;'Inputs and result'!$E$7+1,G48+$U$9*SQRT(Calcul!F48-'Inputs and result'!$B$4)*$U$8*$U$6,0))))</f>
        <v>0</v>
      </c>
    </row>
    <row r="49" spans="6:9" x14ac:dyDescent="0.45">
      <c r="F49">
        <v>26</v>
      </c>
      <c r="G49" s="10">
        <f>IF(F49&gt;'Inputs and result'!$B$4,0,SUM($B$20:$B$21)*SQRT(F49))</f>
        <v>0</v>
      </c>
      <c r="H49">
        <f t="shared" si="1"/>
        <v>0</v>
      </c>
      <c r="I49" s="10">
        <f>IF((IF(F49&lt;='Inputs and result'!$B$4,0,IF((F49-'Inputs and result'!$B$4)&lt;'Inputs and result'!$E$7+1,G49+$U$9*SQRT(Calcul!F49-'Inputs and result'!$B$4)*$U$8*$U$6,0)))&gt;$U$19,$U$19,(IF(F49&lt;='Inputs and result'!$B$4,0,IF((F49-'Inputs and result'!$B$4)&lt;'Inputs and result'!$E$7+1,G49+$U$9*SQRT(Calcul!F49-'Inputs and result'!$B$4)*$U$8*$U$6,0))))</f>
        <v>0</v>
      </c>
    </row>
    <row r="50" spans="6:9" x14ac:dyDescent="0.45">
      <c r="F50">
        <v>27</v>
      </c>
      <c r="G50" s="10">
        <f>IF(F50&gt;'Inputs and result'!$B$4,0,SUM($B$20:$B$21)*SQRT(F50))</f>
        <v>0</v>
      </c>
      <c r="H50">
        <f t="shared" si="1"/>
        <v>0</v>
      </c>
      <c r="I50" s="10">
        <f>IF((IF(F50&lt;='Inputs and result'!$B$4,0,IF((F50-'Inputs and result'!$B$4)&lt;'Inputs and result'!$E$7+1,G50+$U$9*SQRT(Calcul!F50-'Inputs and result'!$B$4)*$U$8*$U$6,0)))&gt;$U$19,$U$19,(IF(F50&lt;='Inputs and result'!$B$4,0,IF((F50-'Inputs and result'!$B$4)&lt;'Inputs and result'!$E$7+1,G50+$U$9*SQRT(Calcul!F50-'Inputs and result'!$B$4)*$U$8*$U$6,0))))</f>
        <v>0</v>
      </c>
    </row>
    <row r="51" spans="6:9" x14ac:dyDescent="0.45">
      <c r="F51">
        <v>28</v>
      </c>
      <c r="G51" s="10">
        <f>IF(F51&gt;'Inputs and result'!$B$4,0,SUM($B$20:$B$21)*SQRT(F51))</f>
        <v>0</v>
      </c>
      <c r="H51">
        <f t="shared" si="1"/>
        <v>0</v>
      </c>
      <c r="I51" s="10">
        <f>IF((IF(F51&lt;='Inputs and result'!$B$4,0,IF((F51-'Inputs and result'!$B$4)&lt;'Inputs and result'!$E$7+1,G51+$U$9*SQRT(Calcul!F51-'Inputs and result'!$B$4)*$U$8*$U$6,0)))&gt;$U$19,$U$19,(IF(F51&lt;='Inputs and result'!$B$4,0,IF((F51-'Inputs and result'!$B$4)&lt;'Inputs and result'!$E$7+1,G51+$U$9*SQRT(Calcul!F51-'Inputs and result'!$B$4)*$U$8*$U$6,0))))</f>
        <v>0</v>
      </c>
    </row>
    <row r="52" spans="6:9" x14ac:dyDescent="0.45">
      <c r="F52">
        <v>29</v>
      </c>
      <c r="G52" s="10">
        <f>IF(F52&gt;'Inputs and result'!$B$4,0,SUM($B$20:$B$21)*SQRT(F52))</f>
        <v>0</v>
      </c>
      <c r="H52">
        <f t="shared" si="1"/>
        <v>0</v>
      </c>
      <c r="I52" s="10">
        <f>IF((IF(F52&lt;='Inputs and result'!$B$4,0,IF((F52-'Inputs and result'!$B$4)&lt;'Inputs and result'!$E$7+1,G52+$U$9*SQRT(Calcul!F52-'Inputs and result'!$B$4)*$U$8*$U$6,0)))&gt;$U$19,$U$19,(IF(F52&lt;='Inputs and result'!$B$4,0,IF((F52-'Inputs and result'!$B$4)&lt;'Inputs and result'!$E$7+1,G52+$U$9*SQRT(Calcul!F52-'Inputs and result'!$B$4)*$U$8*$U$6,0))))</f>
        <v>0</v>
      </c>
    </row>
    <row r="53" spans="6:9" x14ac:dyDescent="0.45">
      <c r="F53">
        <v>30</v>
      </c>
      <c r="G53" s="10">
        <f>IF(F53&gt;'Inputs and result'!$B$4,0,SUM($B$20:$B$21)*SQRT(F53))</f>
        <v>0</v>
      </c>
      <c r="H53">
        <f t="shared" si="1"/>
        <v>0</v>
      </c>
      <c r="I53" s="10">
        <f>IF((IF(F53&lt;='Inputs and result'!$B$4,0,IF((F53-'Inputs and result'!$B$4)&lt;'Inputs and result'!$E$7+1,G53+$U$9*SQRT(Calcul!F53-'Inputs and result'!$B$4)*$U$8*$U$6,0)))&gt;$U$19,$U$19,(IF(F53&lt;='Inputs and result'!$B$4,0,IF((F53-'Inputs and result'!$B$4)&lt;'Inputs and result'!$E$7+1,G53+$U$9*SQRT(Calcul!F53-'Inputs and result'!$B$4)*$U$8*$U$6,0))))</f>
        <v>0</v>
      </c>
    </row>
    <row r="54" spans="6:9" x14ac:dyDescent="0.45">
      <c r="F54">
        <v>31</v>
      </c>
      <c r="G54" s="10">
        <f>IF(F54&gt;'Inputs and result'!$B$4,0,SUM($B$20:$B$21)*SQRT(F54))</f>
        <v>0</v>
      </c>
      <c r="H54">
        <f t="shared" si="1"/>
        <v>0</v>
      </c>
      <c r="I54" s="10">
        <f>IF((IF(F54&lt;='Inputs and result'!$B$4,0,IF((F54-'Inputs and result'!$B$4)&lt;'Inputs and result'!$E$7+1,G54+$U$9*SQRT(Calcul!F54-'Inputs and result'!$B$4)*$U$8*$U$6,0)))&gt;$U$19,$U$19,(IF(F54&lt;='Inputs and result'!$B$4,0,IF((F54-'Inputs and result'!$B$4)&lt;'Inputs and result'!$E$7+1,G54+$U$9*SQRT(Calcul!F54-'Inputs and result'!$B$4)*$U$8*$U$6,0))))</f>
        <v>0</v>
      </c>
    </row>
    <row r="55" spans="6:9" x14ac:dyDescent="0.45">
      <c r="F55">
        <v>32</v>
      </c>
      <c r="G55" s="10">
        <f>IF(F55&gt;'Inputs and result'!$B$4,0,SUM($B$20:$B$21)*SQRT(F55))</f>
        <v>0</v>
      </c>
      <c r="H55">
        <f t="shared" si="1"/>
        <v>0</v>
      </c>
      <c r="I55" s="10">
        <f>IF((IF(F55&lt;='Inputs and result'!$B$4,0,IF((F55-'Inputs and result'!$B$4)&lt;'Inputs and result'!$E$7+1,G55+$U$9*SQRT(Calcul!F55-'Inputs and result'!$B$4)*$U$8*$U$6,0)))&gt;$U$19,$U$19,(IF(F55&lt;='Inputs and result'!$B$4,0,IF((F55-'Inputs and result'!$B$4)&lt;'Inputs and result'!$E$7+1,G55+$U$9*SQRT(Calcul!F55-'Inputs and result'!$B$4)*$U$8*$U$6,0))))</f>
        <v>0</v>
      </c>
    </row>
    <row r="56" spans="6:9" x14ac:dyDescent="0.45">
      <c r="F56">
        <v>33</v>
      </c>
      <c r="G56" s="10">
        <f>IF(F56&gt;'Inputs and result'!$B$4,0,SUM($B$20:$B$21)*SQRT(F56))</f>
        <v>0</v>
      </c>
      <c r="H56">
        <f t="shared" si="1"/>
        <v>0</v>
      </c>
      <c r="I56" s="10">
        <f>IF((IF(F56&lt;='Inputs and result'!$B$4,0,IF((F56-'Inputs and result'!$B$4)&lt;'Inputs and result'!$E$7+1,G56+$U$9*SQRT(Calcul!F56-'Inputs and result'!$B$4)*$U$8*$U$6,0)))&gt;$U$19,$U$19,(IF(F56&lt;='Inputs and result'!$B$4,0,IF((F56-'Inputs and result'!$B$4)&lt;'Inputs and result'!$E$7+1,G56+$U$9*SQRT(Calcul!F56-'Inputs and result'!$B$4)*$U$8*$U$6,0))))</f>
        <v>0</v>
      </c>
    </row>
    <row r="57" spans="6:9" x14ac:dyDescent="0.45">
      <c r="F57">
        <v>34</v>
      </c>
      <c r="G57" s="10">
        <f>IF(F57&gt;'Inputs and result'!$B$4,0,SUM($B$20:$B$21)*SQRT(F57))</f>
        <v>0</v>
      </c>
      <c r="H57">
        <f t="shared" si="1"/>
        <v>0</v>
      </c>
      <c r="I57" s="10">
        <f>IF((IF(F57&lt;='Inputs and result'!$B$4,0,IF((F57-'Inputs and result'!$B$4)&lt;'Inputs and result'!$E$7+1,G57+$U$9*SQRT(Calcul!F57-'Inputs and result'!$B$4)*$U$8*$U$6,0)))&gt;$U$19,$U$19,(IF(F57&lt;='Inputs and result'!$B$4,0,IF((F57-'Inputs and result'!$B$4)&lt;'Inputs and result'!$E$7+1,G57+$U$9*SQRT(Calcul!F57-'Inputs and result'!$B$4)*$U$8*$U$6,0))))</f>
        <v>0</v>
      </c>
    </row>
    <row r="58" spans="6:9" x14ac:dyDescent="0.45">
      <c r="F58">
        <v>35</v>
      </c>
      <c r="G58" s="10">
        <f>IF(F58&gt;'Inputs and result'!$B$4,0,SUM($B$20:$B$21)*SQRT(F58))</f>
        <v>0</v>
      </c>
      <c r="H58">
        <f t="shared" si="1"/>
        <v>0</v>
      </c>
      <c r="I58" s="10">
        <f>IF((IF(F58&lt;='Inputs and result'!$B$4,0,IF((F58-'Inputs and result'!$B$4)&lt;'Inputs and result'!$E$7+1,G58+$U$9*SQRT(Calcul!F58-'Inputs and result'!$B$4)*$U$8*$U$6,0)))&gt;$U$19,$U$19,(IF(F58&lt;='Inputs and result'!$B$4,0,IF((F58-'Inputs and result'!$B$4)&lt;'Inputs and result'!$E$7+1,G58+$U$9*SQRT(Calcul!F58-'Inputs and result'!$B$4)*$U$8*$U$6,0))))</f>
        <v>0</v>
      </c>
    </row>
    <row r="59" spans="6:9" x14ac:dyDescent="0.45">
      <c r="F59">
        <v>36</v>
      </c>
      <c r="G59" s="10">
        <f>IF(F59&gt;'Inputs and result'!$B$4,0,SUM($B$20:$B$21)*SQRT(F59))</f>
        <v>0</v>
      </c>
      <c r="H59">
        <f t="shared" si="1"/>
        <v>0</v>
      </c>
      <c r="I59" s="10">
        <f>IF((IF(F59&lt;='Inputs and result'!$B$4,0,IF((F59-'Inputs and result'!$B$4)&lt;'Inputs and result'!$E$7+1,G59+$U$9*SQRT(Calcul!F59-'Inputs and result'!$B$4)*$U$8*$U$6,0)))&gt;$U$19,$U$19,(IF(F59&lt;='Inputs and result'!$B$4,0,IF((F59-'Inputs and result'!$B$4)&lt;'Inputs and result'!$E$7+1,G59+$U$9*SQRT(Calcul!F59-'Inputs and result'!$B$4)*$U$8*$U$6,0))))</f>
        <v>0</v>
      </c>
    </row>
    <row r="60" spans="6:9" x14ac:dyDescent="0.45">
      <c r="F60">
        <v>37</v>
      </c>
      <c r="G60" s="10">
        <f>IF(F60&gt;'Inputs and result'!$B$4,0,SUM($B$20:$B$21)*SQRT(F60))</f>
        <v>0</v>
      </c>
      <c r="H60">
        <f t="shared" si="1"/>
        <v>0</v>
      </c>
      <c r="I60" s="10">
        <f>IF((IF(F60&lt;='Inputs and result'!$B$4,0,IF((F60-'Inputs and result'!$B$4)&lt;'Inputs and result'!$E$7+1,G60+$U$9*SQRT(Calcul!F60-'Inputs and result'!$B$4)*$U$8*$U$6,0)))&gt;$U$19,$U$19,(IF(F60&lt;='Inputs and result'!$B$4,0,IF((F60-'Inputs and result'!$B$4)&lt;'Inputs and result'!$E$7+1,G60+$U$9*SQRT(Calcul!F60-'Inputs and result'!$B$4)*$U$8*$U$6,0))))</f>
        <v>0</v>
      </c>
    </row>
    <row r="61" spans="6:9" x14ac:dyDescent="0.45">
      <c r="F61">
        <v>38</v>
      </c>
      <c r="G61" s="10">
        <f>IF(F61&gt;'Inputs and result'!$B$4,0,SUM($B$20:$B$21)*SQRT(F61))</f>
        <v>0</v>
      </c>
      <c r="H61">
        <f t="shared" si="1"/>
        <v>0</v>
      </c>
      <c r="I61" s="10">
        <f>IF((IF(F61&lt;='Inputs and result'!$B$4,0,IF((F61-'Inputs and result'!$B$4)&lt;'Inputs and result'!$E$7+1,G61+$U$9*SQRT(Calcul!F61-'Inputs and result'!$B$4)*$U$8*$U$6,0)))&gt;$U$19,$U$19,(IF(F61&lt;='Inputs and result'!$B$4,0,IF((F61-'Inputs and result'!$B$4)&lt;'Inputs and result'!$E$7+1,G61+$U$9*SQRT(Calcul!F61-'Inputs and result'!$B$4)*$U$8*$U$6,0))))</f>
        <v>0</v>
      </c>
    </row>
    <row r="62" spans="6:9" x14ac:dyDescent="0.45">
      <c r="F62">
        <v>39</v>
      </c>
      <c r="G62" s="10">
        <f>IF(F62&gt;'Inputs and result'!$B$4,0,SUM($B$20:$B$21)*SQRT(F62))</f>
        <v>0</v>
      </c>
      <c r="H62">
        <f t="shared" si="1"/>
        <v>0</v>
      </c>
      <c r="I62" s="10">
        <f>IF((IF(F62&lt;='Inputs and result'!$B$4,0,IF((F62-'Inputs and result'!$B$4)&lt;'Inputs and result'!$E$7+1,G62+$U$9*SQRT(Calcul!F62-'Inputs and result'!$B$4)*$U$8*$U$6,0)))&gt;$U$19,$U$19,(IF(F62&lt;='Inputs and result'!$B$4,0,IF((F62-'Inputs and result'!$B$4)&lt;'Inputs and result'!$E$7+1,G62+$U$9*SQRT(Calcul!F62-'Inputs and result'!$B$4)*$U$8*$U$6,0))))</f>
        <v>0</v>
      </c>
    </row>
    <row r="63" spans="6:9" x14ac:dyDescent="0.45">
      <c r="F63">
        <v>40</v>
      </c>
      <c r="G63" s="10">
        <f>IF(F63&gt;'Inputs and result'!$B$4,0,SUM($B$20:$B$21)*SQRT(F63))</f>
        <v>0</v>
      </c>
      <c r="H63">
        <f t="shared" si="1"/>
        <v>0</v>
      </c>
      <c r="I63" s="10">
        <f>IF((IF(F63&lt;='Inputs and result'!$B$4,0,IF((F63-'Inputs and result'!$B$4)&lt;'Inputs and result'!$E$7+1,G63+$U$9*SQRT(Calcul!F63-'Inputs and result'!$B$4)*$U$8*$U$6,0)))&gt;$U$19,$U$19,(IF(F63&lt;='Inputs and result'!$B$4,0,IF((F63-'Inputs and result'!$B$4)&lt;'Inputs and result'!$E$7+1,G63+$U$9*SQRT(Calcul!F63-'Inputs and result'!$B$4)*$U$8*$U$6,0))))</f>
        <v>0</v>
      </c>
    </row>
    <row r="64" spans="6:9" x14ac:dyDescent="0.45">
      <c r="F64">
        <v>41</v>
      </c>
      <c r="G64" s="10">
        <f>IF(F64&gt;'Inputs and result'!$B$4,0,SUM($B$20:$B$21)*SQRT(F64))</f>
        <v>0</v>
      </c>
      <c r="H64">
        <f t="shared" si="1"/>
        <v>0</v>
      </c>
      <c r="I64" s="10">
        <f>IF((IF(F64&lt;='Inputs and result'!$B$4,0,IF((F64-'Inputs and result'!$B$4)&lt;'Inputs and result'!$E$7+1,G64+$U$9*SQRT(Calcul!F64-'Inputs and result'!$B$4)*$U$8*$U$6,0)))&gt;$U$19,$U$19,(IF(F64&lt;='Inputs and result'!$B$4,0,IF((F64-'Inputs and result'!$B$4)&lt;'Inputs and result'!$E$7+1,G64+$U$9*SQRT(Calcul!F64-'Inputs and result'!$B$4)*$U$8*$U$6,0))))</f>
        <v>0</v>
      </c>
    </row>
    <row r="65" spans="6:9" x14ac:dyDescent="0.45">
      <c r="F65">
        <v>42</v>
      </c>
      <c r="G65" s="10">
        <f>IF(F65&gt;'Inputs and result'!$B$4,0,SUM($B$20:$B$21)*SQRT(F65))</f>
        <v>0</v>
      </c>
      <c r="H65">
        <f t="shared" si="1"/>
        <v>0</v>
      </c>
      <c r="I65" s="10">
        <f>IF((IF(F65&lt;='Inputs and result'!$B$4,0,IF((F65-'Inputs and result'!$B$4)&lt;'Inputs and result'!$E$7+1,G65+$U$9*SQRT(Calcul!F65-'Inputs and result'!$B$4)*$U$8*$U$6,0)))&gt;$U$19,$U$19,(IF(F65&lt;='Inputs and result'!$B$4,0,IF((F65-'Inputs and result'!$B$4)&lt;'Inputs and result'!$E$7+1,G65+$U$9*SQRT(Calcul!F65-'Inputs and result'!$B$4)*$U$8*$U$6,0))))</f>
        <v>0</v>
      </c>
    </row>
    <row r="66" spans="6:9" x14ac:dyDescent="0.45">
      <c r="F66">
        <v>43</v>
      </c>
      <c r="G66" s="10">
        <f>IF(F66&gt;'Inputs and result'!$B$4,0,SUM($B$20:$B$21)*SQRT(F66))</f>
        <v>0</v>
      </c>
      <c r="H66">
        <f t="shared" si="1"/>
        <v>0</v>
      </c>
      <c r="I66" s="10">
        <f>IF((IF(F66&lt;='Inputs and result'!$B$4,0,IF((F66-'Inputs and result'!$B$4)&lt;'Inputs and result'!$E$7+1,G66+$U$9*SQRT(Calcul!F66-'Inputs and result'!$B$4)*$U$8*$U$6,0)))&gt;$U$19,$U$19,(IF(F66&lt;='Inputs and result'!$B$4,0,IF((F66-'Inputs and result'!$B$4)&lt;'Inputs and result'!$E$7+1,G66+$U$9*SQRT(Calcul!F66-'Inputs and result'!$B$4)*$U$8*$U$6,0))))</f>
        <v>0</v>
      </c>
    </row>
    <row r="67" spans="6:9" x14ac:dyDescent="0.45">
      <c r="F67">
        <v>44</v>
      </c>
      <c r="G67" s="10">
        <f>IF(F67&gt;'Inputs and result'!$B$4,0,SUM($B$20:$B$21)*SQRT(F67))</f>
        <v>0</v>
      </c>
      <c r="H67">
        <f t="shared" si="1"/>
        <v>0</v>
      </c>
      <c r="I67" s="10">
        <f>IF((IF(F67&lt;='Inputs and result'!$B$4,0,IF((F67-'Inputs and result'!$B$4)&lt;'Inputs and result'!$E$7+1,G67+$U$9*SQRT(Calcul!F67-'Inputs and result'!$B$4)*$U$8*$U$6,0)))&gt;$U$19,$U$19,(IF(F67&lt;='Inputs and result'!$B$4,0,IF((F67-'Inputs and result'!$B$4)&lt;'Inputs and result'!$E$7+1,G67+$U$9*SQRT(Calcul!F67-'Inputs and result'!$B$4)*$U$8*$U$6,0))))</f>
        <v>0</v>
      </c>
    </row>
    <row r="68" spans="6:9" x14ac:dyDescent="0.45">
      <c r="F68">
        <v>45</v>
      </c>
      <c r="G68" s="10">
        <f>IF(F68&gt;'Inputs and result'!$B$4,0,SUM($B$20:$B$21)*SQRT(F68))</f>
        <v>0</v>
      </c>
      <c r="H68">
        <f t="shared" si="1"/>
        <v>0</v>
      </c>
      <c r="I68" s="10">
        <f>IF((IF(F68&lt;='Inputs and result'!$B$4,0,IF((F68-'Inputs and result'!$B$4)&lt;'Inputs and result'!$E$7+1,G68+$U$9*SQRT(Calcul!F68-'Inputs and result'!$B$4)*$U$8*$U$6,0)))&gt;$U$19,$U$19,(IF(F68&lt;='Inputs and result'!$B$4,0,IF((F68-'Inputs and result'!$B$4)&lt;'Inputs and result'!$E$7+1,G68+$U$9*SQRT(Calcul!F68-'Inputs and result'!$B$4)*$U$8*$U$6,0))))</f>
        <v>0</v>
      </c>
    </row>
    <row r="69" spans="6:9" x14ac:dyDescent="0.45">
      <c r="F69">
        <v>46</v>
      </c>
      <c r="G69" s="10">
        <f>IF(F69&gt;'Inputs and result'!$B$4,0,SUM($B$20:$B$21)*SQRT(F69))</f>
        <v>0</v>
      </c>
      <c r="H69">
        <f t="shared" si="1"/>
        <v>0</v>
      </c>
      <c r="I69" s="10">
        <f>IF((IF(F69&lt;='Inputs and result'!$B$4,0,IF((F69-'Inputs and result'!$B$4)&lt;'Inputs and result'!$E$7+1,G69+$U$9*SQRT(Calcul!F69-'Inputs and result'!$B$4)*$U$8*$U$6,0)))&gt;$U$19,$U$19,(IF(F69&lt;='Inputs and result'!$B$4,0,IF((F69-'Inputs and result'!$B$4)&lt;'Inputs and result'!$E$7+1,G69+$U$9*SQRT(Calcul!F69-'Inputs and result'!$B$4)*$U$8*$U$6,0))))</f>
        <v>0</v>
      </c>
    </row>
    <row r="70" spans="6:9" x14ac:dyDescent="0.45">
      <c r="F70">
        <v>47</v>
      </c>
      <c r="G70" s="10">
        <f>IF(F70&gt;'Inputs and result'!$B$4,0,SUM($B$20:$B$21)*SQRT(F70))</f>
        <v>0</v>
      </c>
      <c r="H70">
        <f t="shared" si="1"/>
        <v>0</v>
      </c>
      <c r="I70" s="10">
        <f>IF((IF(F70&lt;='Inputs and result'!$B$4,0,IF((F70-'Inputs and result'!$B$4)&lt;'Inputs and result'!$E$7+1,G70+$U$9*SQRT(Calcul!F70-'Inputs and result'!$B$4)*$U$8*$U$6,0)))&gt;$U$19,$U$19,(IF(F70&lt;='Inputs and result'!$B$4,0,IF((F70-'Inputs and result'!$B$4)&lt;'Inputs and result'!$E$7+1,G70+$U$9*SQRT(Calcul!F70-'Inputs and result'!$B$4)*$U$8*$U$6,0))))</f>
        <v>0</v>
      </c>
    </row>
    <row r="71" spans="6:9" x14ac:dyDescent="0.45">
      <c r="F71">
        <v>48</v>
      </c>
      <c r="G71" s="10">
        <f>IF(F71&gt;'Inputs and result'!$B$4,0,SUM($B$20:$B$21)*SQRT(F71))</f>
        <v>0</v>
      </c>
      <c r="H71">
        <f t="shared" si="1"/>
        <v>0</v>
      </c>
      <c r="I71" s="10">
        <f>IF((IF(F71&lt;='Inputs and result'!$B$4,0,IF((F71-'Inputs and result'!$B$4)&lt;'Inputs and result'!$E$7+1,G71+$U$9*SQRT(Calcul!F71-'Inputs and result'!$B$4)*$U$8*$U$6,0)))&gt;$U$19,$U$19,(IF(F71&lt;='Inputs and result'!$B$4,0,IF((F71-'Inputs and result'!$B$4)&lt;'Inputs and result'!$E$7+1,G71+$U$9*SQRT(Calcul!F71-'Inputs and result'!$B$4)*$U$8*$U$6,0))))</f>
        <v>0</v>
      </c>
    </row>
    <row r="72" spans="6:9" x14ac:dyDescent="0.45">
      <c r="F72">
        <v>49</v>
      </c>
      <c r="G72" s="10">
        <f>IF(F72&gt;'Inputs and result'!$B$4,0,SUM($B$20:$B$21)*SQRT(F72))</f>
        <v>0</v>
      </c>
      <c r="H72">
        <f t="shared" si="1"/>
        <v>0</v>
      </c>
      <c r="I72" s="10">
        <f>IF((IF(F72&lt;='Inputs and result'!$B$4,0,IF((F72-'Inputs and result'!$B$4)&lt;'Inputs and result'!$E$7+1,G72+$U$9*SQRT(Calcul!F72-'Inputs and result'!$B$4)*$U$8*$U$6,0)))&gt;$U$19,$U$19,(IF(F72&lt;='Inputs and result'!$B$4,0,IF((F72-'Inputs and result'!$B$4)&lt;'Inputs and result'!$E$7+1,G72+$U$9*SQRT(Calcul!F72-'Inputs and result'!$B$4)*$U$8*$U$6,0))))</f>
        <v>0</v>
      </c>
    </row>
    <row r="73" spans="6:9" x14ac:dyDescent="0.45">
      <c r="F73">
        <v>50</v>
      </c>
      <c r="G73" s="10">
        <f>IF(F73&gt;'Inputs and result'!$B$4,0,SUM($B$20:$B$21)*SQRT(F73))</f>
        <v>0</v>
      </c>
      <c r="H73">
        <f t="shared" si="1"/>
        <v>0</v>
      </c>
      <c r="I73" s="10">
        <f>IF((IF(F73&lt;='Inputs and result'!$B$4,0,IF((F73-'Inputs and result'!$B$4)&lt;'Inputs and result'!$E$7+1,G73+$U$9*SQRT(Calcul!F73-'Inputs and result'!$B$4)*$U$8*$U$6,0)))&gt;$U$19,$U$19,(IF(F73&lt;='Inputs and result'!$B$4,0,IF((F73-'Inputs and result'!$B$4)&lt;'Inputs and result'!$E$7+1,G73+$U$9*SQRT(Calcul!F73-'Inputs and result'!$B$4)*$U$8*$U$6,0))))</f>
        <v>0</v>
      </c>
    </row>
    <row r="74" spans="6:9" x14ac:dyDescent="0.45">
      <c r="F74">
        <v>51</v>
      </c>
      <c r="G74" s="10">
        <f>IF(F74&gt;'Inputs and result'!$B$4,0,SUM($B$20:$B$21)*SQRT(F74))</f>
        <v>0</v>
      </c>
      <c r="H74">
        <f t="shared" si="1"/>
        <v>0</v>
      </c>
      <c r="I74" s="10">
        <f>IF((IF(F74&lt;='Inputs and result'!$B$4,0,IF((F74-'Inputs and result'!$B$4)&lt;'Inputs and result'!$E$7+1,G74+$U$9*SQRT(Calcul!F74-'Inputs and result'!$B$4)*$U$8*$U$6,0)))&gt;$U$19,$U$19,(IF(F74&lt;='Inputs and result'!$B$4,0,IF((F74-'Inputs and result'!$B$4)&lt;'Inputs and result'!$E$7+1,G74+$U$9*SQRT(Calcul!F74-'Inputs and result'!$B$4)*$U$8*$U$6,0))))</f>
        <v>0</v>
      </c>
    </row>
    <row r="75" spans="6:9" x14ac:dyDescent="0.45">
      <c r="F75">
        <v>52</v>
      </c>
      <c r="G75" s="10">
        <f>IF(F75&gt;'Inputs and result'!$B$4,0,SUM($B$20:$B$21)*SQRT(F75))</f>
        <v>0</v>
      </c>
      <c r="H75">
        <f t="shared" si="1"/>
        <v>0</v>
      </c>
      <c r="I75" s="10">
        <f>IF((IF(F75&lt;='Inputs and result'!$B$4,0,IF((F75-'Inputs and result'!$B$4)&lt;'Inputs and result'!$E$7+1,G75+$U$9*SQRT(Calcul!F75-'Inputs and result'!$B$4)*$U$8*$U$6,0)))&gt;$U$19,$U$19,(IF(F75&lt;='Inputs and result'!$B$4,0,IF((F75-'Inputs and result'!$B$4)&lt;'Inputs and result'!$E$7+1,G75+$U$9*SQRT(Calcul!F75-'Inputs and result'!$B$4)*$U$8*$U$6,0))))</f>
        <v>0</v>
      </c>
    </row>
    <row r="76" spans="6:9" x14ac:dyDescent="0.45">
      <c r="F76">
        <v>53</v>
      </c>
      <c r="G76" s="10">
        <f>IF(F76&gt;'Inputs and result'!$B$4,0,SUM($B$20:$B$21)*SQRT(F76))</f>
        <v>0</v>
      </c>
      <c r="H76">
        <f t="shared" si="1"/>
        <v>0</v>
      </c>
      <c r="I76" s="10">
        <f>IF((IF(F76&lt;='Inputs and result'!$B$4,0,IF((F76-'Inputs and result'!$B$4)&lt;'Inputs and result'!$E$7+1,G76+$U$9*SQRT(Calcul!F76-'Inputs and result'!$B$4)*$U$8*$U$6,0)))&gt;$U$19,$U$19,(IF(F76&lt;='Inputs and result'!$B$4,0,IF((F76-'Inputs and result'!$B$4)&lt;'Inputs and result'!$E$7+1,G76+$U$9*SQRT(Calcul!F76-'Inputs and result'!$B$4)*$U$8*$U$6,0))))</f>
        <v>0</v>
      </c>
    </row>
    <row r="77" spans="6:9" x14ac:dyDescent="0.45">
      <c r="F77">
        <v>54</v>
      </c>
      <c r="G77" s="10">
        <f>IF(F77&gt;'Inputs and result'!$B$4,0,SUM($B$20:$B$21)*SQRT(F77))</f>
        <v>0</v>
      </c>
      <c r="H77">
        <f t="shared" si="1"/>
        <v>0</v>
      </c>
      <c r="I77" s="10">
        <f>IF((IF(F77&lt;='Inputs and result'!$B$4,0,IF((F77-'Inputs and result'!$B$4)&lt;'Inputs and result'!$E$7+1,G77+$U$9*SQRT(Calcul!F77-'Inputs and result'!$B$4)*$U$8*$U$6,0)))&gt;$U$19,$U$19,(IF(F77&lt;='Inputs and result'!$B$4,0,IF((F77-'Inputs and result'!$B$4)&lt;'Inputs and result'!$E$7+1,G77+$U$9*SQRT(Calcul!F77-'Inputs and result'!$B$4)*$U$8*$U$6,0))))</f>
        <v>0</v>
      </c>
    </row>
    <row r="78" spans="6:9" x14ac:dyDescent="0.45">
      <c r="F78">
        <v>55</v>
      </c>
      <c r="G78" s="10">
        <f>IF(F78&gt;'Inputs and result'!$B$4,0,SUM($B$20:$B$21)*SQRT(F78))</f>
        <v>0</v>
      </c>
      <c r="H78">
        <f t="shared" si="1"/>
        <v>0</v>
      </c>
      <c r="I78" s="10">
        <f>IF((IF(F78&lt;='Inputs and result'!$B$4,0,IF((F78-'Inputs and result'!$B$4)&lt;'Inputs and result'!$E$7+1,G78+$U$9*SQRT(Calcul!F78-'Inputs and result'!$B$4)*$U$8*$U$6,0)))&gt;$U$19,$U$19,(IF(F78&lt;='Inputs and result'!$B$4,0,IF((F78-'Inputs and result'!$B$4)&lt;'Inputs and result'!$E$7+1,G78+$U$9*SQRT(Calcul!F78-'Inputs and result'!$B$4)*$U$8*$U$6,0))))</f>
        <v>0</v>
      </c>
    </row>
    <row r="79" spans="6:9" x14ac:dyDescent="0.45">
      <c r="F79">
        <v>56</v>
      </c>
      <c r="G79" s="10">
        <f>IF(F79&gt;'Inputs and result'!$B$4,0,SUM($B$20:$B$21)*SQRT(F79))</f>
        <v>0</v>
      </c>
      <c r="H79">
        <f t="shared" si="1"/>
        <v>0</v>
      </c>
      <c r="I79" s="10">
        <f>IF((IF(F79&lt;='Inputs and result'!$B$4,0,IF((F79-'Inputs and result'!$B$4)&lt;'Inputs and result'!$E$7+1,G79+$U$9*SQRT(Calcul!F79-'Inputs and result'!$B$4)*$U$8*$U$6,0)))&gt;$U$19,$U$19,(IF(F79&lt;='Inputs and result'!$B$4,0,IF((F79-'Inputs and result'!$B$4)&lt;'Inputs and result'!$E$7+1,G79+$U$9*SQRT(Calcul!F79-'Inputs and result'!$B$4)*$U$8*$U$6,0))))</f>
        <v>0</v>
      </c>
    </row>
    <row r="80" spans="6:9" x14ac:dyDescent="0.45">
      <c r="F80">
        <v>57</v>
      </c>
      <c r="G80" s="10">
        <f>IF(F80&gt;'Inputs and result'!$B$4,0,SUM($B$20:$B$21)*SQRT(F80))</f>
        <v>0</v>
      </c>
      <c r="H80">
        <f t="shared" si="1"/>
        <v>0</v>
      </c>
      <c r="I80" s="10">
        <f>IF((IF(F80&lt;='Inputs and result'!$B$4,0,IF((F80-'Inputs and result'!$B$4)&lt;'Inputs and result'!$E$7+1,G80+$U$9*SQRT(Calcul!F80-'Inputs and result'!$B$4)*$U$8*$U$6,0)))&gt;$U$19,$U$19,(IF(F80&lt;='Inputs and result'!$B$4,0,IF((F80-'Inputs and result'!$B$4)&lt;'Inputs and result'!$E$7+1,G80+$U$9*SQRT(Calcul!F80-'Inputs and result'!$B$4)*$U$8*$U$6,0))))</f>
        <v>0</v>
      </c>
    </row>
    <row r="81" spans="6:9" x14ac:dyDescent="0.45">
      <c r="F81">
        <v>58</v>
      </c>
      <c r="G81" s="10">
        <f>IF(F81&gt;'Inputs and result'!$B$4,0,SUM($B$20:$B$21)*SQRT(F81))</f>
        <v>0</v>
      </c>
      <c r="H81">
        <f t="shared" si="1"/>
        <v>0</v>
      </c>
      <c r="I81" s="10">
        <f>IF((IF(F81&lt;='Inputs and result'!$B$4,0,IF((F81-'Inputs and result'!$B$4)&lt;'Inputs and result'!$E$7+1,G81+$U$9*SQRT(Calcul!F81-'Inputs and result'!$B$4)*$U$8*$U$6,0)))&gt;$U$19,$U$19,(IF(F81&lt;='Inputs and result'!$B$4,0,IF((F81-'Inputs and result'!$B$4)&lt;'Inputs and result'!$E$7+1,G81+$U$9*SQRT(Calcul!F81-'Inputs and result'!$B$4)*$U$8*$U$6,0))))</f>
        <v>0</v>
      </c>
    </row>
    <row r="82" spans="6:9" x14ac:dyDescent="0.45">
      <c r="F82">
        <v>59</v>
      </c>
      <c r="G82" s="10">
        <f>IF(F82&gt;'Inputs and result'!$B$4,0,SUM($B$20:$B$21)*SQRT(F82))</f>
        <v>0</v>
      </c>
      <c r="H82">
        <f t="shared" si="1"/>
        <v>0</v>
      </c>
      <c r="I82" s="10">
        <f>IF((IF(F82&lt;='Inputs and result'!$B$4,0,IF((F82-'Inputs and result'!$B$4)&lt;'Inputs and result'!$E$7+1,G82+$U$9*SQRT(Calcul!F82-'Inputs and result'!$B$4)*$U$8*$U$6,0)))&gt;$U$19,$U$19,(IF(F82&lt;='Inputs and result'!$B$4,0,IF((F82-'Inputs and result'!$B$4)&lt;'Inputs and result'!$E$7+1,G82+$U$9*SQRT(Calcul!F82-'Inputs and result'!$B$4)*$U$8*$U$6,0))))</f>
        <v>0</v>
      </c>
    </row>
    <row r="83" spans="6:9" x14ac:dyDescent="0.45">
      <c r="F83">
        <v>60</v>
      </c>
      <c r="G83" s="10">
        <f>IF(F83&gt;'Inputs and result'!$B$4,0,SUM($B$20:$B$21)*SQRT(F83))</f>
        <v>0</v>
      </c>
      <c r="H83">
        <f t="shared" si="1"/>
        <v>0</v>
      </c>
      <c r="I83" s="10">
        <f>IF((IF(F83&lt;='Inputs and result'!$B$4,0,IF((F83-'Inputs and result'!$B$4)&lt;'Inputs and result'!$E$7+1,G83+$U$9*SQRT(Calcul!F83-'Inputs and result'!$B$4)*$U$8*$U$6,0)))&gt;$U$19,$U$19,(IF(F83&lt;='Inputs and result'!$B$4,0,IF((F83-'Inputs and result'!$B$4)&lt;'Inputs and result'!$E$7+1,G83+$U$9*SQRT(Calcul!F83-'Inputs and result'!$B$4)*$U$8*$U$6,0))))</f>
        <v>0</v>
      </c>
    </row>
    <row r="84" spans="6:9" x14ac:dyDescent="0.45">
      <c r="F84">
        <v>61</v>
      </c>
      <c r="G84" s="10">
        <f>IF(F84&gt;'Inputs and result'!$B$4,0,SUM($B$20:$B$21)*SQRT(F84))</f>
        <v>0</v>
      </c>
      <c r="H84">
        <f t="shared" si="1"/>
        <v>0</v>
      </c>
      <c r="I84" s="10">
        <f>IF((IF(F84&lt;='Inputs and result'!$B$4,0,IF((F84-'Inputs and result'!$B$4)&lt;'Inputs and result'!$E$7+1,G84+$U$9*SQRT(Calcul!F84-'Inputs and result'!$B$4)*$U$8*$U$6,0)))&gt;$U$19,$U$19,(IF(F84&lt;='Inputs and result'!$B$4,0,IF((F84-'Inputs and result'!$B$4)&lt;'Inputs and result'!$E$7+1,G84+$U$9*SQRT(Calcul!F84-'Inputs and result'!$B$4)*$U$8*$U$6,0))))</f>
        <v>0</v>
      </c>
    </row>
    <row r="85" spans="6:9" x14ac:dyDescent="0.45">
      <c r="F85">
        <v>62</v>
      </c>
      <c r="G85" s="10">
        <f>IF(F85&gt;'Inputs and result'!$B$4,0,SUM($B$20:$B$21)*SQRT(F85))</f>
        <v>0</v>
      </c>
      <c r="H85">
        <f t="shared" si="1"/>
        <v>0</v>
      </c>
      <c r="I85" s="10">
        <f>IF((IF(F85&lt;='Inputs and result'!$B$4,0,IF((F85-'Inputs and result'!$B$4)&lt;'Inputs and result'!$E$7+1,G85+$U$9*SQRT(Calcul!F85-'Inputs and result'!$B$4)*$U$8*$U$6,0)))&gt;$U$19,$U$19,(IF(F85&lt;='Inputs and result'!$B$4,0,IF((F85-'Inputs and result'!$B$4)&lt;'Inputs and result'!$E$7+1,G85+$U$9*SQRT(Calcul!F85-'Inputs and result'!$B$4)*$U$8*$U$6,0))))</f>
        <v>0</v>
      </c>
    </row>
    <row r="86" spans="6:9" x14ac:dyDescent="0.45">
      <c r="F86">
        <v>63</v>
      </c>
      <c r="G86" s="10">
        <f>IF(F86&gt;'Inputs and result'!$B$4,0,SUM($B$20:$B$21)*SQRT(F86))</f>
        <v>0</v>
      </c>
      <c r="H86">
        <f t="shared" si="1"/>
        <v>0</v>
      </c>
      <c r="I86" s="10">
        <f>IF((IF(F86&lt;='Inputs and result'!$B$4,0,IF((F86-'Inputs and result'!$B$4)&lt;'Inputs and result'!$E$7+1,G86+$U$9*SQRT(Calcul!F86-'Inputs and result'!$B$4)*$U$8*$U$6,0)))&gt;$U$19,$U$19,(IF(F86&lt;='Inputs and result'!$B$4,0,IF((F86-'Inputs and result'!$B$4)&lt;'Inputs and result'!$E$7+1,G86+$U$9*SQRT(Calcul!F86-'Inputs and result'!$B$4)*$U$8*$U$6,0))))</f>
        <v>0</v>
      </c>
    </row>
    <row r="87" spans="6:9" x14ac:dyDescent="0.45">
      <c r="F87">
        <v>64</v>
      </c>
      <c r="G87" s="10">
        <f>IF(F87&gt;'Inputs and result'!$B$4,0,SUM($B$20:$B$21)*SQRT(F87))</f>
        <v>0</v>
      </c>
      <c r="H87">
        <f t="shared" si="1"/>
        <v>0</v>
      </c>
      <c r="I87" s="10">
        <f>IF((IF(F87&lt;='Inputs and result'!$B$4,0,IF((F87-'Inputs and result'!$B$4)&lt;'Inputs and result'!$E$7+1,G87+$U$9*SQRT(Calcul!F87-'Inputs and result'!$B$4)*$U$8*$U$6,0)))&gt;$U$19,$U$19,(IF(F87&lt;='Inputs and result'!$B$4,0,IF((F87-'Inputs and result'!$B$4)&lt;'Inputs and result'!$E$7+1,G87+$U$9*SQRT(Calcul!F87-'Inputs and result'!$B$4)*$U$8*$U$6,0))))</f>
        <v>0</v>
      </c>
    </row>
    <row r="88" spans="6:9" x14ac:dyDescent="0.45">
      <c r="F88">
        <v>65</v>
      </c>
      <c r="G88" s="10">
        <f>IF(F88&gt;'Inputs and result'!$B$4,0,SUM($B$20:$B$21)*SQRT(F88))</f>
        <v>0</v>
      </c>
      <c r="H88">
        <f t="shared" si="1"/>
        <v>0</v>
      </c>
      <c r="I88" s="10">
        <f>IF((IF(F88&lt;='Inputs and result'!$B$4,0,IF((F88-'Inputs and result'!$B$4)&lt;'Inputs and result'!$E$7+1,G88+$U$9*SQRT(Calcul!F88-'Inputs and result'!$B$4)*$U$8*$U$6,0)))&gt;$U$19,$U$19,(IF(F88&lt;='Inputs and result'!$B$4,0,IF((F88-'Inputs and result'!$B$4)&lt;'Inputs and result'!$E$7+1,G88+$U$9*SQRT(Calcul!F88-'Inputs and result'!$B$4)*$U$8*$U$6,0))))</f>
        <v>0</v>
      </c>
    </row>
    <row r="89" spans="6:9" x14ac:dyDescent="0.45">
      <c r="F89">
        <v>66</v>
      </c>
      <c r="G89" s="10">
        <f>IF(F89&gt;'Inputs and result'!$B$4,0,SUM($B$20:$B$21)*SQRT(F89))</f>
        <v>0</v>
      </c>
      <c r="H89">
        <f t="shared" ref="H89:H152" si="2">IF($U$3&gt;0,I89,0)</f>
        <v>0</v>
      </c>
      <c r="I89" s="10">
        <f>IF((IF(F89&lt;='Inputs and result'!$B$4,0,IF((F89-'Inputs and result'!$B$4)&lt;'Inputs and result'!$E$7+1,G89+$U$9*SQRT(Calcul!F89-'Inputs and result'!$B$4)*$U$8*$U$6,0)))&gt;$U$19,$U$19,(IF(F89&lt;='Inputs and result'!$B$4,0,IF((F89-'Inputs and result'!$B$4)&lt;'Inputs and result'!$E$7+1,G89+$U$9*SQRT(Calcul!F89-'Inputs and result'!$B$4)*$U$8*$U$6,0))))</f>
        <v>0</v>
      </c>
    </row>
    <row r="90" spans="6:9" x14ac:dyDescent="0.45">
      <c r="F90">
        <v>67</v>
      </c>
      <c r="G90" s="10">
        <f>IF(F90&gt;'Inputs and result'!$B$4,0,SUM($B$20:$B$21)*SQRT(F90))</f>
        <v>0</v>
      </c>
      <c r="H90">
        <f t="shared" si="2"/>
        <v>0</v>
      </c>
      <c r="I90" s="10">
        <f>IF((IF(F90&lt;='Inputs and result'!$B$4,0,IF((F90-'Inputs and result'!$B$4)&lt;'Inputs and result'!$E$7+1,G90+$U$9*SQRT(Calcul!F90-'Inputs and result'!$B$4)*$U$8*$U$6,0)))&gt;$U$19,$U$19,(IF(F90&lt;='Inputs and result'!$B$4,0,IF((F90-'Inputs and result'!$B$4)&lt;'Inputs and result'!$E$7+1,G90+$U$9*SQRT(Calcul!F90-'Inputs and result'!$B$4)*$U$8*$U$6,0))))</f>
        <v>0</v>
      </c>
    </row>
    <row r="91" spans="6:9" x14ac:dyDescent="0.45">
      <c r="F91">
        <v>68</v>
      </c>
      <c r="G91" s="10">
        <f>IF(F91&gt;'Inputs and result'!$B$4,0,SUM($B$20:$B$21)*SQRT(F91))</f>
        <v>0</v>
      </c>
      <c r="H91">
        <f t="shared" si="2"/>
        <v>0</v>
      </c>
      <c r="I91" s="10">
        <f>IF((IF(F91&lt;='Inputs and result'!$B$4,0,IF((F91-'Inputs and result'!$B$4)&lt;'Inputs and result'!$E$7+1,G91+$U$9*SQRT(Calcul!F91-'Inputs and result'!$B$4)*$U$8*$U$6,0)))&gt;$U$19,$U$19,(IF(F91&lt;='Inputs and result'!$B$4,0,IF((F91-'Inputs and result'!$B$4)&lt;'Inputs and result'!$E$7+1,G91+$U$9*SQRT(Calcul!F91-'Inputs and result'!$B$4)*$U$8*$U$6,0))))</f>
        <v>0</v>
      </c>
    </row>
    <row r="92" spans="6:9" x14ac:dyDescent="0.45">
      <c r="F92">
        <v>69</v>
      </c>
      <c r="G92" s="10">
        <f>IF(F92&gt;'Inputs and result'!$B$4,0,SUM($B$20:$B$21)*SQRT(F92))</f>
        <v>0</v>
      </c>
      <c r="H92">
        <f t="shared" si="2"/>
        <v>0</v>
      </c>
      <c r="I92" s="10">
        <f>IF((IF(F92&lt;='Inputs and result'!$B$4,0,IF((F92-'Inputs and result'!$B$4)&lt;'Inputs and result'!$E$7+1,G92+$U$9*SQRT(Calcul!F92-'Inputs and result'!$B$4)*$U$8*$U$6,0)))&gt;$U$19,$U$19,(IF(F92&lt;='Inputs and result'!$B$4,0,IF((F92-'Inputs and result'!$B$4)&lt;'Inputs and result'!$E$7+1,G92+$U$9*SQRT(Calcul!F92-'Inputs and result'!$B$4)*$U$8*$U$6,0))))</f>
        <v>0</v>
      </c>
    </row>
    <row r="93" spans="6:9" x14ac:dyDescent="0.45">
      <c r="F93">
        <v>70</v>
      </c>
      <c r="G93" s="10">
        <f>IF(F93&gt;'Inputs and result'!$B$4,0,SUM($B$20:$B$21)*SQRT(F93))</f>
        <v>0</v>
      </c>
      <c r="H93">
        <f t="shared" si="2"/>
        <v>0</v>
      </c>
      <c r="I93" s="10">
        <f>IF((IF(F93&lt;='Inputs and result'!$B$4,0,IF((F93-'Inputs and result'!$B$4)&lt;'Inputs and result'!$E$7+1,G93+$U$9*SQRT(Calcul!F93-'Inputs and result'!$B$4)*$U$8*$U$6,0)))&gt;$U$19,$U$19,(IF(F93&lt;='Inputs and result'!$B$4,0,IF((F93-'Inputs and result'!$B$4)&lt;'Inputs and result'!$E$7+1,G93+$U$9*SQRT(Calcul!F93-'Inputs and result'!$B$4)*$U$8*$U$6,0))))</f>
        <v>0</v>
      </c>
    </row>
    <row r="94" spans="6:9" x14ac:dyDescent="0.45">
      <c r="F94">
        <v>71</v>
      </c>
      <c r="G94" s="10">
        <f>IF(F94&gt;'Inputs and result'!$B$4,0,SUM($B$20:$B$21)*SQRT(F94))</f>
        <v>0</v>
      </c>
      <c r="H94">
        <f t="shared" si="2"/>
        <v>0</v>
      </c>
      <c r="I94" s="10">
        <f>IF((IF(F94&lt;='Inputs and result'!$B$4,0,IF((F94-'Inputs and result'!$B$4)&lt;'Inputs and result'!$E$7+1,G94+$U$9*SQRT(Calcul!F94-'Inputs and result'!$B$4)*$U$8*$U$6,0)))&gt;$U$19,$U$19,(IF(F94&lt;='Inputs and result'!$B$4,0,IF((F94-'Inputs and result'!$B$4)&lt;'Inputs and result'!$E$7+1,G94+$U$9*SQRT(Calcul!F94-'Inputs and result'!$B$4)*$U$8*$U$6,0))))</f>
        <v>0</v>
      </c>
    </row>
    <row r="95" spans="6:9" x14ac:dyDescent="0.45">
      <c r="F95">
        <v>72</v>
      </c>
      <c r="G95" s="10">
        <f>IF(F95&gt;'Inputs and result'!$B$4,0,SUM($B$20:$B$21)*SQRT(F95))</f>
        <v>0</v>
      </c>
      <c r="H95">
        <f t="shared" si="2"/>
        <v>0</v>
      </c>
      <c r="I95" s="10">
        <f>IF((IF(F95&lt;='Inputs and result'!$B$4,0,IF((F95-'Inputs and result'!$B$4)&lt;'Inputs and result'!$E$7+1,G95+$U$9*SQRT(Calcul!F95-'Inputs and result'!$B$4)*$U$8*$U$6,0)))&gt;$U$19,$U$19,(IF(F95&lt;='Inputs and result'!$B$4,0,IF((F95-'Inputs and result'!$B$4)&lt;'Inputs and result'!$E$7+1,G95+$U$9*SQRT(Calcul!F95-'Inputs and result'!$B$4)*$U$8*$U$6,0))))</f>
        <v>0</v>
      </c>
    </row>
    <row r="96" spans="6:9" x14ac:dyDescent="0.45">
      <c r="F96">
        <v>73</v>
      </c>
      <c r="G96" s="10">
        <f>IF(F96&gt;'Inputs and result'!$B$4,0,SUM($B$20:$B$21)*SQRT(F96))</f>
        <v>0</v>
      </c>
      <c r="H96">
        <f t="shared" si="2"/>
        <v>0</v>
      </c>
      <c r="I96" s="10">
        <f>IF((IF(F96&lt;='Inputs and result'!$B$4,0,IF((F96-'Inputs and result'!$B$4)&lt;'Inputs and result'!$E$7+1,G96+$U$9*SQRT(Calcul!F96-'Inputs and result'!$B$4)*$U$8*$U$6,0)))&gt;$U$19,$U$19,(IF(F96&lt;='Inputs and result'!$B$4,0,IF((F96-'Inputs and result'!$B$4)&lt;'Inputs and result'!$E$7+1,G96+$U$9*SQRT(Calcul!F96-'Inputs and result'!$B$4)*$U$8*$U$6,0))))</f>
        <v>0</v>
      </c>
    </row>
    <row r="97" spans="6:9" x14ac:dyDescent="0.45">
      <c r="F97">
        <v>74</v>
      </c>
      <c r="G97" s="10">
        <f>IF(F97&gt;'Inputs and result'!$B$4,0,SUM($B$20:$B$21)*SQRT(F97))</f>
        <v>0</v>
      </c>
      <c r="H97">
        <f t="shared" si="2"/>
        <v>0</v>
      </c>
      <c r="I97" s="10">
        <f>IF((IF(F97&lt;='Inputs and result'!$B$4,0,IF((F97-'Inputs and result'!$B$4)&lt;'Inputs and result'!$E$7+1,G97+$U$9*SQRT(Calcul!F97-'Inputs and result'!$B$4)*$U$8*$U$6,0)))&gt;$U$19,$U$19,(IF(F97&lt;='Inputs and result'!$B$4,0,IF((F97-'Inputs and result'!$B$4)&lt;'Inputs and result'!$E$7+1,G97+$U$9*SQRT(Calcul!F97-'Inputs and result'!$B$4)*$U$8*$U$6,0))))</f>
        <v>0</v>
      </c>
    </row>
    <row r="98" spans="6:9" x14ac:dyDescent="0.45">
      <c r="F98">
        <v>75</v>
      </c>
      <c r="G98" s="10">
        <f>IF(F98&gt;'Inputs and result'!$B$4,0,SUM($B$20:$B$21)*SQRT(F98))</f>
        <v>0</v>
      </c>
      <c r="H98">
        <f t="shared" si="2"/>
        <v>0</v>
      </c>
      <c r="I98" s="10">
        <f>IF((IF(F98&lt;='Inputs and result'!$B$4,0,IF((F98-'Inputs and result'!$B$4)&lt;'Inputs and result'!$E$7+1,G98+$U$9*SQRT(Calcul!F98-'Inputs and result'!$B$4)*$U$8*$U$6,0)))&gt;$U$19,$U$19,(IF(F98&lt;='Inputs and result'!$B$4,0,IF((F98-'Inputs and result'!$B$4)&lt;'Inputs and result'!$E$7+1,G98+$U$9*SQRT(Calcul!F98-'Inputs and result'!$B$4)*$U$8*$U$6,0))))</f>
        <v>0</v>
      </c>
    </row>
    <row r="99" spans="6:9" x14ac:dyDescent="0.45">
      <c r="F99">
        <v>76</v>
      </c>
      <c r="G99" s="10">
        <f>IF(F99&gt;'Inputs and result'!$B$4,0,SUM($B$20:$B$21)*SQRT(F99))</f>
        <v>0</v>
      </c>
      <c r="H99">
        <f t="shared" si="2"/>
        <v>0</v>
      </c>
      <c r="I99" s="10">
        <f>IF((IF(F99&lt;='Inputs and result'!$B$4,0,IF((F99-'Inputs and result'!$B$4)&lt;'Inputs and result'!$E$7+1,G99+$U$9*SQRT(Calcul!F99-'Inputs and result'!$B$4)*$U$8*$U$6,0)))&gt;$U$19,$U$19,(IF(F99&lt;='Inputs and result'!$B$4,0,IF((F99-'Inputs and result'!$B$4)&lt;'Inputs and result'!$E$7+1,G99+$U$9*SQRT(Calcul!F99-'Inputs and result'!$B$4)*$U$8*$U$6,0))))</f>
        <v>0</v>
      </c>
    </row>
    <row r="100" spans="6:9" x14ac:dyDescent="0.45">
      <c r="F100">
        <v>77</v>
      </c>
      <c r="G100" s="10">
        <f>IF(F100&gt;'Inputs and result'!$B$4,0,SUM($B$20:$B$21)*SQRT(F100))</f>
        <v>0</v>
      </c>
      <c r="H100">
        <f t="shared" si="2"/>
        <v>0</v>
      </c>
      <c r="I100" s="10">
        <f>IF((IF(F100&lt;='Inputs and result'!$B$4,0,IF((F100-'Inputs and result'!$B$4)&lt;'Inputs and result'!$E$7+1,G100+$U$9*SQRT(Calcul!F100-'Inputs and result'!$B$4)*$U$8*$U$6,0)))&gt;$U$19,$U$19,(IF(F100&lt;='Inputs and result'!$B$4,0,IF((F100-'Inputs and result'!$B$4)&lt;'Inputs and result'!$E$7+1,G100+$U$9*SQRT(Calcul!F100-'Inputs and result'!$B$4)*$U$8*$U$6,0))))</f>
        <v>0</v>
      </c>
    </row>
    <row r="101" spans="6:9" x14ac:dyDescent="0.45">
      <c r="F101">
        <v>78</v>
      </c>
      <c r="G101" s="10">
        <f>IF(F101&gt;'Inputs and result'!$B$4,0,SUM($B$20:$B$21)*SQRT(F101))</f>
        <v>0</v>
      </c>
      <c r="H101">
        <f t="shared" si="2"/>
        <v>0</v>
      </c>
      <c r="I101" s="10">
        <f>IF((IF(F101&lt;='Inputs and result'!$B$4,0,IF((F101-'Inputs and result'!$B$4)&lt;'Inputs and result'!$E$7+1,G101+$U$9*SQRT(Calcul!F101-'Inputs and result'!$B$4)*$U$8*$U$6,0)))&gt;$U$19,$U$19,(IF(F101&lt;='Inputs and result'!$B$4,0,IF((F101-'Inputs and result'!$B$4)&lt;'Inputs and result'!$E$7+1,G101+$U$9*SQRT(Calcul!F101-'Inputs and result'!$B$4)*$U$8*$U$6,0))))</f>
        <v>0</v>
      </c>
    </row>
    <row r="102" spans="6:9" x14ac:dyDescent="0.45">
      <c r="F102">
        <v>79</v>
      </c>
      <c r="G102" s="10">
        <f>IF(F102&gt;'Inputs and result'!$B$4,0,SUM($B$20:$B$21)*SQRT(F102))</f>
        <v>0</v>
      </c>
      <c r="H102">
        <f t="shared" si="2"/>
        <v>0</v>
      </c>
      <c r="I102" s="10">
        <f>IF((IF(F102&lt;='Inputs and result'!$B$4,0,IF((F102-'Inputs and result'!$B$4)&lt;'Inputs and result'!$E$7+1,G102+$U$9*SQRT(Calcul!F102-'Inputs and result'!$B$4)*$U$8*$U$6,0)))&gt;$U$19,$U$19,(IF(F102&lt;='Inputs and result'!$B$4,0,IF((F102-'Inputs and result'!$B$4)&lt;'Inputs and result'!$E$7+1,G102+$U$9*SQRT(Calcul!F102-'Inputs and result'!$B$4)*$U$8*$U$6,0))))</f>
        <v>0</v>
      </c>
    </row>
    <row r="103" spans="6:9" x14ac:dyDescent="0.45">
      <c r="F103">
        <v>80</v>
      </c>
      <c r="G103" s="10">
        <f>IF(F103&gt;'Inputs and result'!$B$4,0,SUM($B$20:$B$21)*SQRT(F103))</f>
        <v>0</v>
      </c>
      <c r="H103">
        <f t="shared" si="2"/>
        <v>0</v>
      </c>
      <c r="I103" s="10">
        <f>IF((IF(F103&lt;='Inputs and result'!$B$4,0,IF((F103-'Inputs and result'!$B$4)&lt;'Inputs and result'!$E$7+1,G103+$U$9*SQRT(Calcul!F103-'Inputs and result'!$B$4)*$U$8*$U$6,0)))&gt;$U$19,$U$19,(IF(F103&lt;='Inputs and result'!$B$4,0,IF((F103-'Inputs and result'!$B$4)&lt;'Inputs and result'!$E$7+1,G103+$U$9*SQRT(Calcul!F103-'Inputs and result'!$B$4)*$U$8*$U$6,0))))</f>
        <v>0</v>
      </c>
    </row>
    <row r="104" spans="6:9" x14ac:dyDescent="0.45">
      <c r="F104">
        <v>81</v>
      </c>
      <c r="G104" s="10">
        <f>IF(F104&gt;'Inputs and result'!$B$4,0,SUM($B$20:$B$21)*SQRT(F104))</f>
        <v>0</v>
      </c>
      <c r="H104">
        <f t="shared" si="2"/>
        <v>0</v>
      </c>
      <c r="I104" s="10">
        <f>IF((IF(F104&lt;='Inputs and result'!$B$4,0,IF((F104-'Inputs and result'!$B$4)&lt;'Inputs and result'!$E$7+1,G104+$U$9*SQRT(Calcul!F104-'Inputs and result'!$B$4)*$U$8*$U$6,0)))&gt;$U$19,$U$19,(IF(F104&lt;='Inputs and result'!$B$4,0,IF((F104-'Inputs and result'!$B$4)&lt;'Inputs and result'!$E$7+1,G104+$U$9*SQRT(Calcul!F104-'Inputs and result'!$B$4)*$U$8*$U$6,0))))</f>
        <v>0</v>
      </c>
    </row>
    <row r="105" spans="6:9" x14ac:dyDescent="0.45">
      <c r="F105">
        <v>82</v>
      </c>
      <c r="G105" s="10">
        <f>IF(F105&gt;'Inputs and result'!$B$4,0,SUM($B$20:$B$21)*SQRT(F105))</f>
        <v>0</v>
      </c>
      <c r="H105">
        <f t="shared" si="2"/>
        <v>0</v>
      </c>
      <c r="I105" s="10">
        <f>IF((IF(F105&lt;='Inputs and result'!$B$4,0,IF((F105-'Inputs and result'!$B$4)&lt;'Inputs and result'!$E$7+1,G105+$U$9*SQRT(Calcul!F105-'Inputs and result'!$B$4)*$U$8*$U$6,0)))&gt;$U$19,$U$19,(IF(F105&lt;='Inputs and result'!$B$4,0,IF((F105-'Inputs and result'!$B$4)&lt;'Inputs and result'!$E$7+1,G105+$U$9*SQRT(Calcul!F105-'Inputs and result'!$B$4)*$U$8*$U$6,0))))</f>
        <v>0</v>
      </c>
    </row>
    <row r="106" spans="6:9" x14ac:dyDescent="0.45">
      <c r="F106">
        <v>83</v>
      </c>
      <c r="G106" s="10">
        <f>IF(F106&gt;'Inputs and result'!$B$4,0,SUM($B$20:$B$21)*SQRT(F106))</f>
        <v>0</v>
      </c>
      <c r="H106">
        <f t="shared" si="2"/>
        <v>0</v>
      </c>
      <c r="I106" s="10">
        <f>IF((IF(F106&lt;='Inputs and result'!$B$4,0,IF((F106-'Inputs and result'!$B$4)&lt;'Inputs and result'!$E$7+1,G106+$U$9*SQRT(Calcul!F106-'Inputs and result'!$B$4)*$U$8*$U$6,0)))&gt;$U$19,$U$19,(IF(F106&lt;='Inputs and result'!$B$4,0,IF((F106-'Inputs and result'!$B$4)&lt;'Inputs and result'!$E$7+1,G106+$U$9*SQRT(Calcul!F106-'Inputs and result'!$B$4)*$U$8*$U$6,0))))</f>
        <v>0</v>
      </c>
    </row>
    <row r="107" spans="6:9" x14ac:dyDescent="0.45">
      <c r="F107">
        <v>84</v>
      </c>
      <c r="G107" s="10">
        <f>IF(F107&gt;'Inputs and result'!$B$4,0,SUM($B$20:$B$21)*SQRT(F107))</f>
        <v>0</v>
      </c>
      <c r="H107">
        <f t="shared" si="2"/>
        <v>0</v>
      </c>
      <c r="I107" s="10">
        <f>IF((IF(F107&lt;='Inputs and result'!$B$4,0,IF((F107-'Inputs and result'!$B$4)&lt;'Inputs and result'!$E$7+1,G107+$U$9*SQRT(Calcul!F107-'Inputs and result'!$B$4)*$U$8*$U$6,0)))&gt;$U$19,$U$19,(IF(F107&lt;='Inputs and result'!$B$4,0,IF((F107-'Inputs and result'!$B$4)&lt;'Inputs and result'!$E$7+1,G107+$U$9*SQRT(Calcul!F107-'Inputs and result'!$B$4)*$U$8*$U$6,0))))</f>
        <v>0</v>
      </c>
    </row>
    <row r="108" spans="6:9" x14ac:dyDescent="0.45">
      <c r="F108">
        <v>85</v>
      </c>
      <c r="G108" s="10">
        <f>IF(F108&gt;'Inputs and result'!$B$4,0,SUM($B$20:$B$21)*SQRT(F108))</f>
        <v>0</v>
      </c>
      <c r="H108">
        <f t="shared" si="2"/>
        <v>0</v>
      </c>
      <c r="I108" s="10">
        <f>IF((IF(F108&lt;='Inputs and result'!$B$4,0,IF((F108-'Inputs and result'!$B$4)&lt;'Inputs and result'!$E$7+1,G108+$U$9*SQRT(Calcul!F108-'Inputs and result'!$B$4)*$U$8*$U$6,0)))&gt;$U$19,$U$19,(IF(F108&lt;='Inputs and result'!$B$4,0,IF((F108-'Inputs and result'!$B$4)&lt;'Inputs and result'!$E$7+1,G108+$U$9*SQRT(Calcul!F108-'Inputs and result'!$B$4)*$U$8*$U$6,0))))</f>
        <v>0</v>
      </c>
    </row>
    <row r="109" spans="6:9" x14ac:dyDescent="0.45">
      <c r="F109">
        <v>86</v>
      </c>
      <c r="G109" s="10">
        <f>IF(F109&gt;'Inputs and result'!$B$4,0,SUM($B$20:$B$21)*SQRT(F109))</f>
        <v>0</v>
      </c>
      <c r="H109">
        <f t="shared" si="2"/>
        <v>0</v>
      </c>
      <c r="I109" s="10">
        <f>IF((IF(F109&lt;='Inputs and result'!$B$4,0,IF((F109-'Inputs and result'!$B$4)&lt;'Inputs and result'!$E$7+1,G109+$U$9*SQRT(Calcul!F109-'Inputs and result'!$B$4)*$U$8*$U$6,0)))&gt;$U$19,$U$19,(IF(F109&lt;='Inputs and result'!$B$4,0,IF((F109-'Inputs and result'!$B$4)&lt;'Inputs and result'!$E$7+1,G109+$U$9*SQRT(Calcul!F109-'Inputs and result'!$B$4)*$U$8*$U$6,0))))</f>
        <v>0</v>
      </c>
    </row>
    <row r="110" spans="6:9" x14ac:dyDescent="0.45">
      <c r="F110">
        <v>87</v>
      </c>
      <c r="G110" s="10">
        <f>IF(F110&gt;'Inputs and result'!$B$4,0,SUM($B$20:$B$21)*SQRT(F110))</f>
        <v>0</v>
      </c>
      <c r="H110">
        <f t="shared" si="2"/>
        <v>0</v>
      </c>
      <c r="I110" s="10">
        <f>IF((IF(F110&lt;='Inputs and result'!$B$4,0,IF((F110-'Inputs and result'!$B$4)&lt;'Inputs and result'!$E$7+1,G110+$U$9*SQRT(Calcul!F110-'Inputs and result'!$B$4)*$U$8*$U$6,0)))&gt;$U$19,$U$19,(IF(F110&lt;='Inputs and result'!$B$4,0,IF((F110-'Inputs and result'!$B$4)&lt;'Inputs and result'!$E$7+1,G110+$U$9*SQRT(Calcul!F110-'Inputs and result'!$B$4)*$U$8*$U$6,0))))</f>
        <v>0</v>
      </c>
    </row>
    <row r="111" spans="6:9" x14ac:dyDescent="0.45">
      <c r="F111">
        <v>88</v>
      </c>
      <c r="G111" s="10">
        <f>IF(F111&gt;'Inputs and result'!$B$4,0,SUM($B$20:$B$21)*SQRT(F111))</f>
        <v>0</v>
      </c>
      <c r="H111">
        <f t="shared" si="2"/>
        <v>0</v>
      </c>
      <c r="I111" s="10">
        <f>IF((IF(F111&lt;='Inputs and result'!$B$4,0,IF((F111-'Inputs and result'!$B$4)&lt;'Inputs and result'!$E$7+1,G111+$U$9*SQRT(Calcul!F111-'Inputs and result'!$B$4)*$U$8*$U$6,0)))&gt;$U$19,$U$19,(IF(F111&lt;='Inputs and result'!$B$4,0,IF((F111-'Inputs and result'!$B$4)&lt;'Inputs and result'!$E$7+1,G111+$U$9*SQRT(Calcul!F111-'Inputs and result'!$B$4)*$U$8*$U$6,0))))</f>
        <v>0</v>
      </c>
    </row>
    <row r="112" spans="6:9" x14ac:dyDescent="0.45">
      <c r="F112">
        <v>89</v>
      </c>
      <c r="G112" s="10">
        <f>IF(F112&gt;'Inputs and result'!$B$4,0,SUM($B$20:$B$21)*SQRT(F112))</f>
        <v>0</v>
      </c>
      <c r="H112">
        <f t="shared" si="2"/>
        <v>0</v>
      </c>
      <c r="I112" s="10">
        <f>IF((IF(F112&lt;='Inputs and result'!$B$4,0,IF((F112-'Inputs and result'!$B$4)&lt;'Inputs and result'!$E$7+1,G112+$U$9*SQRT(Calcul!F112-'Inputs and result'!$B$4)*$U$8*$U$6,0)))&gt;$U$19,$U$19,(IF(F112&lt;='Inputs and result'!$B$4,0,IF((F112-'Inputs and result'!$B$4)&lt;'Inputs and result'!$E$7+1,G112+$U$9*SQRT(Calcul!F112-'Inputs and result'!$B$4)*$U$8*$U$6,0))))</f>
        <v>0</v>
      </c>
    </row>
    <row r="113" spans="6:9" x14ac:dyDescent="0.45">
      <c r="F113">
        <v>90</v>
      </c>
      <c r="G113" s="10">
        <f>IF(F113&gt;'Inputs and result'!$B$4,0,SUM($B$20:$B$21)*SQRT(F113))</f>
        <v>0</v>
      </c>
      <c r="H113">
        <f t="shared" si="2"/>
        <v>0</v>
      </c>
      <c r="I113" s="10">
        <f>IF((IF(F113&lt;='Inputs and result'!$B$4,0,IF((F113-'Inputs and result'!$B$4)&lt;'Inputs and result'!$E$7+1,G113+$U$9*SQRT(Calcul!F113-'Inputs and result'!$B$4)*$U$8*$U$6,0)))&gt;$U$19,$U$19,(IF(F113&lt;='Inputs and result'!$B$4,0,IF((F113-'Inputs and result'!$B$4)&lt;'Inputs and result'!$E$7+1,G113+$U$9*SQRT(Calcul!F113-'Inputs and result'!$B$4)*$U$8*$U$6,0))))</f>
        <v>0</v>
      </c>
    </row>
    <row r="114" spans="6:9" x14ac:dyDescent="0.45">
      <c r="F114">
        <v>91</v>
      </c>
      <c r="G114" s="10">
        <f>IF(F114&gt;'Inputs and result'!$B$4,0,SUM($B$20:$B$21)*SQRT(F114))</f>
        <v>0</v>
      </c>
      <c r="H114">
        <f t="shared" si="2"/>
        <v>0</v>
      </c>
      <c r="I114" s="10">
        <f>IF((IF(F114&lt;='Inputs and result'!$B$4,0,IF((F114-'Inputs and result'!$B$4)&lt;'Inputs and result'!$E$7+1,G114+$U$9*SQRT(Calcul!F114-'Inputs and result'!$B$4)*$U$8*$U$6,0)))&gt;$U$19,$U$19,(IF(F114&lt;='Inputs and result'!$B$4,0,IF((F114-'Inputs and result'!$B$4)&lt;'Inputs and result'!$E$7+1,G114+$U$9*SQRT(Calcul!F114-'Inputs and result'!$B$4)*$U$8*$U$6,0))))</f>
        <v>0</v>
      </c>
    </row>
    <row r="115" spans="6:9" x14ac:dyDescent="0.45">
      <c r="F115">
        <v>92</v>
      </c>
      <c r="G115" s="10">
        <f>IF(F115&gt;'Inputs and result'!$B$4,0,SUM($B$20:$B$21)*SQRT(F115))</f>
        <v>0</v>
      </c>
      <c r="H115">
        <f t="shared" si="2"/>
        <v>0</v>
      </c>
      <c r="I115" s="10">
        <f>IF((IF(F115&lt;='Inputs and result'!$B$4,0,IF((F115-'Inputs and result'!$B$4)&lt;'Inputs and result'!$E$7+1,G115+$U$9*SQRT(Calcul!F115-'Inputs and result'!$B$4)*$U$8*$U$6,0)))&gt;$U$19,$U$19,(IF(F115&lt;='Inputs and result'!$B$4,0,IF((F115-'Inputs and result'!$B$4)&lt;'Inputs and result'!$E$7+1,G115+$U$9*SQRT(Calcul!F115-'Inputs and result'!$B$4)*$U$8*$U$6,0))))</f>
        <v>0</v>
      </c>
    </row>
    <row r="116" spans="6:9" x14ac:dyDescent="0.45">
      <c r="F116">
        <v>93</v>
      </c>
      <c r="G116" s="10">
        <f>IF(F116&gt;'Inputs and result'!$B$4,0,SUM($B$20:$B$21)*SQRT(F116))</f>
        <v>0</v>
      </c>
      <c r="H116">
        <f t="shared" si="2"/>
        <v>0</v>
      </c>
      <c r="I116" s="10">
        <f>IF((IF(F116&lt;='Inputs and result'!$B$4,0,IF((F116-'Inputs and result'!$B$4)&lt;'Inputs and result'!$E$7+1,G116+$U$9*SQRT(Calcul!F116-'Inputs and result'!$B$4)*$U$8*$U$6,0)))&gt;$U$19,$U$19,(IF(F116&lt;='Inputs and result'!$B$4,0,IF((F116-'Inputs and result'!$B$4)&lt;'Inputs and result'!$E$7+1,G116+$U$9*SQRT(Calcul!F116-'Inputs and result'!$B$4)*$U$8*$U$6,0))))</f>
        <v>0</v>
      </c>
    </row>
    <row r="117" spans="6:9" x14ac:dyDescent="0.45">
      <c r="F117">
        <v>94</v>
      </c>
      <c r="G117" s="10">
        <f>IF(F117&gt;'Inputs and result'!$B$4,0,SUM($B$20:$B$21)*SQRT(F117))</f>
        <v>0</v>
      </c>
      <c r="H117">
        <f t="shared" si="2"/>
        <v>0</v>
      </c>
      <c r="I117" s="10">
        <f>IF((IF(F117&lt;='Inputs and result'!$B$4,0,IF((F117-'Inputs and result'!$B$4)&lt;'Inputs and result'!$E$7+1,G117+$U$9*SQRT(Calcul!F117-'Inputs and result'!$B$4)*$U$8*$U$6,0)))&gt;$U$19,$U$19,(IF(F117&lt;='Inputs and result'!$B$4,0,IF((F117-'Inputs and result'!$B$4)&lt;'Inputs and result'!$E$7+1,G117+$U$9*SQRT(Calcul!F117-'Inputs and result'!$B$4)*$U$8*$U$6,0))))</f>
        <v>0</v>
      </c>
    </row>
    <row r="118" spans="6:9" x14ac:dyDescent="0.45">
      <c r="F118">
        <v>95</v>
      </c>
      <c r="G118" s="10">
        <f>IF(F118&gt;'Inputs and result'!$B$4,0,SUM($B$20:$B$21)*SQRT(F118))</f>
        <v>0</v>
      </c>
      <c r="H118">
        <f t="shared" si="2"/>
        <v>0</v>
      </c>
      <c r="I118" s="10">
        <f>IF((IF(F118&lt;='Inputs and result'!$B$4,0,IF((F118-'Inputs and result'!$B$4)&lt;'Inputs and result'!$E$7+1,G118+$U$9*SQRT(Calcul!F118-'Inputs and result'!$B$4)*$U$8*$U$6,0)))&gt;$U$19,$U$19,(IF(F118&lt;='Inputs and result'!$B$4,0,IF((F118-'Inputs and result'!$B$4)&lt;'Inputs and result'!$E$7+1,G118+$U$9*SQRT(Calcul!F118-'Inputs and result'!$B$4)*$U$8*$U$6,0))))</f>
        <v>0</v>
      </c>
    </row>
    <row r="119" spans="6:9" x14ac:dyDescent="0.45">
      <c r="F119">
        <v>96</v>
      </c>
      <c r="G119" s="10">
        <f>IF(F119&gt;'Inputs and result'!$B$4,0,SUM($B$20:$B$21)*SQRT(F119))</f>
        <v>0</v>
      </c>
      <c r="H119">
        <f t="shared" si="2"/>
        <v>0</v>
      </c>
      <c r="I119" s="10">
        <f>IF((IF(F119&lt;='Inputs and result'!$B$4,0,IF((F119-'Inputs and result'!$B$4)&lt;'Inputs and result'!$E$7+1,G119+$U$9*SQRT(Calcul!F119-'Inputs and result'!$B$4)*$U$8*$U$6,0)))&gt;$U$19,$U$19,(IF(F119&lt;='Inputs and result'!$B$4,0,IF((F119-'Inputs and result'!$B$4)&lt;'Inputs and result'!$E$7+1,G119+$U$9*SQRT(Calcul!F119-'Inputs and result'!$B$4)*$U$8*$U$6,0))))</f>
        <v>0</v>
      </c>
    </row>
    <row r="120" spans="6:9" x14ac:dyDescent="0.45">
      <c r="F120">
        <v>97</v>
      </c>
      <c r="G120" s="10">
        <f>IF(F120&gt;'Inputs and result'!$B$4,0,SUM($B$20:$B$21)*SQRT(F120))</f>
        <v>0</v>
      </c>
      <c r="H120">
        <f t="shared" si="2"/>
        <v>0</v>
      </c>
      <c r="I120" s="10">
        <f>IF((IF(F120&lt;='Inputs and result'!$B$4,0,IF((F120-'Inputs and result'!$B$4)&lt;'Inputs and result'!$E$7+1,G120+$U$9*SQRT(Calcul!F120-'Inputs and result'!$B$4)*$U$8*$U$6,0)))&gt;$U$19,$U$19,(IF(F120&lt;='Inputs and result'!$B$4,0,IF((F120-'Inputs and result'!$B$4)&lt;'Inputs and result'!$E$7+1,G120+$U$9*SQRT(Calcul!F120-'Inputs and result'!$B$4)*$U$8*$U$6,0))))</f>
        <v>0</v>
      </c>
    </row>
    <row r="121" spans="6:9" x14ac:dyDescent="0.45">
      <c r="F121">
        <v>98</v>
      </c>
      <c r="G121" s="10">
        <f>IF(F121&gt;'Inputs and result'!$B$4,0,SUM($B$20:$B$21)*SQRT(F121))</f>
        <v>0</v>
      </c>
      <c r="H121">
        <f t="shared" si="2"/>
        <v>0</v>
      </c>
      <c r="I121" s="10">
        <f>IF((IF(F121&lt;='Inputs and result'!$B$4,0,IF((F121-'Inputs and result'!$B$4)&lt;'Inputs and result'!$E$7+1,G121+$U$9*SQRT(Calcul!F121-'Inputs and result'!$B$4)*$U$8*$U$6,0)))&gt;$U$19,$U$19,(IF(F121&lt;='Inputs and result'!$B$4,0,IF((F121-'Inputs and result'!$B$4)&lt;'Inputs and result'!$E$7+1,G121+$U$9*SQRT(Calcul!F121-'Inputs and result'!$B$4)*$U$8*$U$6,0))))</f>
        <v>0</v>
      </c>
    </row>
    <row r="122" spans="6:9" x14ac:dyDescent="0.45">
      <c r="F122">
        <v>99</v>
      </c>
      <c r="G122" s="10">
        <f>IF(F122&gt;'Inputs and result'!$B$4,0,SUM($B$20:$B$21)*SQRT(F122))</f>
        <v>0</v>
      </c>
      <c r="H122">
        <f t="shared" si="2"/>
        <v>0</v>
      </c>
      <c r="I122" s="10">
        <f>IF((IF(F122&lt;='Inputs and result'!$B$4,0,IF((F122-'Inputs and result'!$B$4)&lt;'Inputs and result'!$E$7+1,G122+$U$9*SQRT(Calcul!F122-'Inputs and result'!$B$4)*$U$8*$U$6,0)))&gt;$U$19,$U$19,(IF(F122&lt;='Inputs and result'!$B$4,0,IF((F122-'Inputs and result'!$B$4)&lt;'Inputs and result'!$E$7+1,G122+$U$9*SQRT(Calcul!F122-'Inputs and result'!$B$4)*$U$8*$U$6,0))))</f>
        <v>0</v>
      </c>
    </row>
    <row r="123" spans="6:9" x14ac:dyDescent="0.45">
      <c r="F123">
        <v>100</v>
      </c>
      <c r="G123" s="10">
        <f>IF(F123&gt;'Inputs and result'!$B$4,0,SUM($B$20:$B$21)*SQRT(F123))</f>
        <v>0</v>
      </c>
      <c r="H123">
        <f t="shared" si="2"/>
        <v>0</v>
      </c>
      <c r="I123" s="10">
        <f>IF((IF(F123&lt;='Inputs and result'!$B$4,0,IF((F123-'Inputs and result'!$B$4)&lt;'Inputs and result'!$E$7+1,G123+$U$9*SQRT(Calcul!F123-'Inputs and result'!$B$4)*$U$8*$U$6,0)))&gt;$U$19,$U$19,(IF(F123&lt;='Inputs and result'!$B$4,0,IF((F123-'Inputs and result'!$B$4)&lt;'Inputs and result'!$E$7+1,G123+$U$9*SQRT(Calcul!F123-'Inputs and result'!$B$4)*$U$8*$U$6,0))))</f>
        <v>0</v>
      </c>
    </row>
    <row r="124" spans="6:9" x14ac:dyDescent="0.45">
      <c r="F124">
        <v>101</v>
      </c>
      <c r="G124" s="10">
        <f>IF(F124&gt;'Inputs and result'!$B$4,0,SUM($B$20:$B$21)*SQRT(F124))</f>
        <v>0</v>
      </c>
      <c r="H124">
        <f t="shared" si="2"/>
        <v>223.00298699744528</v>
      </c>
      <c r="I124" s="10">
        <f>IF((IF(F124&lt;='Inputs and result'!$B$4,0,IF((F124-'Inputs and result'!$B$4)&lt;'Inputs and result'!$E$7+1,G124+$U$9*SQRT(Calcul!F124-'Inputs and result'!$B$4)*$U$8*$U$6,0)))&gt;$U$19,$U$19,(IF(F124&lt;='Inputs and result'!$B$4,0,IF((F124-'Inputs and result'!$B$4)&lt;'Inputs and result'!$E$7+1,G124+$U$9*SQRT(Calcul!F124-'Inputs and result'!$B$4)*$U$8*$U$6,0))))</f>
        <v>223.00298699744528</v>
      </c>
    </row>
    <row r="125" spans="6:9" x14ac:dyDescent="0.45">
      <c r="F125">
        <v>102</v>
      </c>
      <c r="G125" s="10">
        <f>IF(F125&gt;'Inputs and result'!$B$4,0,SUM($B$20:$B$21)*SQRT(F125))</f>
        <v>0</v>
      </c>
      <c r="H125">
        <f t="shared" si="2"/>
        <v>315.37384866149807</v>
      </c>
      <c r="I125" s="10">
        <f>IF((IF(F125&lt;='Inputs and result'!$B$4,0,IF((F125-'Inputs and result'!$B$4)&lt;'Inputs and result'!$E$7+1,G125+$U$9*SQRT(Calcul!F125-'Inputs and result'!$B$4)*$U$8*$U$6,0)))&gt;$U$19,$U$19,(IF(F125&lt;='Inputs and result'!$B$4,0,IF((F125-'Inputs and result'!$B$4)&lt;'Inputs and result'!$E$7+1,G125+$U$9*SQRT(Calcul!F125-'Inputs and result'!$B$4)*$U$8*$U$6,0))))</f>
        <v>315.37384866149807</v>
      </c>
    </row>
    <row r="126" spans="6:9" x14ac:dyDescent="0.45">
      <c r="F126">
        <v>103</v>
      </c>
      <c r="G126" s="10">
        <f>IF(F126&gt;'Inputs and result'!$B$4,0,SUM($B$20:$B$21)*SQRT(F126))</f>
        <v>0</v>
      </c>
      <c r="H126">
        <f t="shared" si="2"/>
        <v>0</v>
      </c>
      <c r="I126" s="10">
        <f>IF((IF(F126&lt;='Inputs and result'!$B$4,0,IF((F126-'Inputs and result'!$B$4)&lt;'Inputs and result'!$E$7+1,G126+$U$9*SQRT(Calcul!F126-'Inputs and result'!$B$4)*$U$8*$U$6,0)))&gt;$U$19,$U$19,(IF(F126&lt;='Inputs and result'!$B$4,0,IF((F126-'Inputs and result'!$B$4)&lt;'Inputs and result'!$E$7+1,G126+$U$9*SQRT(Calcul!F126-'Inputs and result'!$B$4)*$U$8*$U$6,0))))</f>
        <v>0</v>
      </c>
    </row>
    <row r="127" spans="6:9" x14ac:dyDescent="0.45">
      <c r="F127">
        <v>104</v>
      </c>
      <c r="G127" s="10">
        <f>IF(F127&gt;'Inputs and result'!$B$4,0,SUM($B$20:$B$21)*SQRT(F127))</f>
        <v>0</v>
      </c>
      <c r="H127">
        <f t="shared" si="2"/>
        <v>0</v>
      </c>
      <c r="I127" s="10">
        <f>IF((IF(F127&lt;='Inputs and result'!$B$4,0,IF((F127-'Inputs and result'!$B$4)&lt;'Inputs and result'!$E$7+1,G127+$U$9*SQRT(Calcul!F127-'Inputs and result'!$B$4)*$U$8*$U$6,0)))&gt;$U$19,$U$19,(IF(F127&lt;='Inputs and result'!$B$4,0,IF((F127-'Inputs and result'!$B$4)&lt;'Inputs and result'!$E$7+1,G127+$U$9*SQRT(Calcul!F127-'Inputs and result'!$B$4)*$U$8*$U$6,0))))</f>
        <v>0</v>
      </c>
    </row>
    <row r="128" spans="6:9" x14ac:dyDescent="0.45">
      <c r="F128">
        <v>105</v>
      </c>
      <c r="G128" s="10">
        <f>IF(F128&gt;'Inputs and result'!$B$4,0,SUM($B$20:$B$21)*SQRT(F128))</f>
        <v>0</v>
      </c>
      <c r="H128">
        <f t="shared" si="2"/>
        <v>0</v>
      </c>
      <c r="I128" s="10">
        <f>IF((IF(F128&lt;='Inputs and result'!$B$4,0,IF((F128-'Inputs and result'!$B$4)&lt;'Inputs and result'!$E$7+1,G128+$U$9*SQRT(Calcul!F128-'Inputs and result'!$B$4)*$U$8*$U$6,0)))&gt;$U$19,$U$19,(IF(F128&lt;='Inputs and result'!$B$4,0,IF((F128-'Inputs and result'!$B$4)&lt;'Inputs and result'!$E$7+1,G128+$U$9*SQRT(Calcul!F128-'Inputs and result'!$B$4)*$U$8*$U$6,0))))</f>
        <v>0</v>
      </c>
    </row>
    <row r="129" spans="6:9" x14ac:dyDescent="0.45">
      <c r="F129">
        <v>106</v>
      </c>
      <c r="G129" s="10">
        <f>IF(F129&gt;'Inputs and result'!$B$4,0,SUM($B$20:$B$21)*SQRT(F129))</f>
        <v>0</v>
      </c>
      <c r="H129">
        <f t="shared" si="2"/>
        <v>0</v>
      </c>
      <c r="I129" s="10">
        <f>IF((IF(F129&lt;='Inputs and result'!$B$4,0,IF((F129-'Inputs and result'!$B$4)&lt;'Inputs and result'!$E$7+1,G129+$U$9*SQRT(Calcul!F129-'Inputs and result'!$B$4)*$U$8*$U$6,0)))&gt;$U$19,$U$19,(IF(F129&lt;='Inputs and result'!$B$4,0,IF((F129-'Inputs and result'!$B$4)&lt;'Inputs and result'!$E$7+1,G129+$U$9*SQRT(Calcul!F129-'Inputs and result'!$B$4)*$U$8*$U$6,0))))</f>
        <v>0</v>
      </c>
    </row>
    <row r="130" spans="6:9" x14ac:dyDescent="0.45">
      <c r="F130">
        <v>107</v>
      </c>
      <c r="G130" s="10">
        <f>IF(F130&gt;'Inputs and result'!$B$4,0,SUM($B$20:$B$21)*SQRT(F130))</f>
        <v>0</v>
      </c>
      <c r="H130">
        <f t="shared" si="2"/>
        <v>0</v>
      </c>
      <c r="I130" s="10">
        <f>IF((IF(F130&lt;='Inputs and result'!$B$4,0,IF((F130-'Inputs and result'!$B$4)&lt;'Inputs and result'!$E$7+1,G130+$U$9*SQRT(Calcul!F130-'Inputs and result'!$B$4)*$U$8*$U$6,0)))&gt;$U$19,$U$19,(IF(F130&lt;='Inputs and result'!$B$4,0,IF((F130-'Inputs and result'!$B$4)&lt;'Inputs and result'!$E$7+1,G130+$U$9*SQRT(Calcul!F130-'Inputs and result'!$B$4)*$U$8*$U$6,0))))</f>
        <v>0</v>
      </c>
    </row>
    <row r="131" spans="6:9" x14ac:dyDescent="0.45">
      <c r="F131">
        <v>108</v>
      </c>
      <c r="G131" s="10">
        <f>IF(F131&gt;'Inputs and result'!$B$4,0,SUM($B$20:$B$21)*SQRT(F131))</f>
        <v>0</v>
      </c>
      <c r="H131">
        <f t="shared" si="2"/>
        <v>0</v>
      </c>
      <c r="I131" s="10">
        <f>IF((IF(F131&lt;='Inputs and result'!$B$4,0,IF((F131-'Inputs and result'!$B$4)&lt;'Inputs and result'!$E$7+1,G131+$U$9*SQRT(Calcul!F131-'Inputs and result'!$B$4)*$U$8*$U$6,0)))&gt;$U$19,$U$19,(IF(F131&lt;='Inputs and result'!$B$4,0,IF((F131-'Inputs and result'!$B$4)&lt;'Inputs and result'!$E$7+1,G131+$U$9*SQRT(Calcul!F131-'Inputs and result'!$B$4)*$U$8*$U$6,0))))</f>
        <v>0</v>
      </c>
    </row>
    <row r="132" spans="6:9" x14ac:dyDescent="0.45">
      <c r="F132">
        <v>109</v>
      </c>
      <c r="G132" s="10">
        <f>IF(F132&gt;'Inputs and result'!$B$4,0,SUM($B$20:$B$21)*SQRT(F132))</f>
        <v>0</v>
      </c>
      <c r="H132">
        <f t="shared" si="2"/>
        <v>0</v>
      </c>
      <c r="I132" s="10">
        <f>IF((IF(F132&lt;='Inputs and result'!$B$4,0,IF((F132-'Inputs and result'!$B$4)&lt;'Inputs and result'!$E$7+1,G132+$U$9*SQRT(Calcul!F132-'Inputs and result'!$B$4)*$U$8*$U$6,0)))&gt;$U$19,$U$19,(IF(F132&lt;='Inputs and result'!$B$4,0,IF((F132-'Inputs and result'!$B$4)&lt;'Inputs and result'!$E$7+1,G132+$U$9*SQRT(Calcul!F132-'Inputs and result'!$B$4)*$U$8*$U$6,0))))</f>
        <v>0</v>
      </c>
    </row>
    <row r="133" spans="6:9" x14ac:dyDescent="0.45">
      <c r="F133">
        <v>110</v>
      </c>
      <c r="G133" s="10">
        <f>IF(F133&gt;'Inputs and result'!$B$4,0,SUM($B$20:$B$21)*SQRT(F133))</f>
        <v>0</v>
      </c>
      <c r="H133">
        <f t="shared" si="2"/>
        <v>0</v>
      </c>
      <c r="I133" s="10">
        <f>IF((IF(F133&lt;='Inputs and result'!$B$4,0,IF((F133-'Inputs and result'!$B$4)&lt;'Inputs and result'!$E$7+1,G133+$U$9*SQRT(Calcul!F133-'Inputs and result'!$B$4)*$U$8*$U$6,0)))&gt;$U$19,$U$19,(IF(F133&lt;='Inputs and result'!$B$4,0,IF((F133-'Inputs and result'!$B$4)&lt;'Inputs and result'!$E$7+1,G133+$U$9*SQRT(Calcul!F133-'Inputs and result'!$B$4)*$U$8*$U$6,0))))</f>
        <v>0</v>
      </c>
    </row>
    <row r="134" spans="6:9" x14ac:dyDescent="0.45">
      <c r="F134">
        <v>111</v>
      </c>
      <c r="G134" s="10">
        <f>IF(F134&gt;'Inputs and result'!$B$4,0,SUM($B$20:$B$21)*SQRT(F134))</f>
        <v>0</v>
      </c>
      <c r="H134">
        <f t="shared" si="2"/>
        <v>0</v>
      </c>
      <c r="I134" s="10">
        <f>IF((IF(F134&lt;='Inputs and result'!$B$4,0,IF((F134-'Inputs and result'!$B$4)&lt;'Inputs and result'!$E$7+1,G134+$U$9*SQRT(Calcul!F134-'Inputs and result'!$B$4)*$U$8*$U$6,0)))&gt;$U$19,$U$19,(IF(F134&lt;='Inputs and result'!$B$4,0,IF((F134-'Inputs and result'!$B$4)&lt;'Inputs and result'!$E$7+1,G134+$U$9*SQRT(Calcul!F134-'Inputs and result'!$B$4)*$U$8*$U$6,0))))</f>
        <v>0</v>
      </c>
    </row>
    <row r="135" spans="6:9" x14ac:dyDescent="0.45">
      <c r="F135">
        <v>112</v>
      </c>
      <c r="G135" s="10">
        <f>IF(F135&gt;'Inputs and result'!$B$4,0,SUM($B$20:$B$21)*SQRT(F135))</f>
        <v>0</v>
      </c>
      <c r="H135">
        <f t="shared" si="2"/>
        <v>0</v>
      </c>
      <c r="I135" s="10">
        <f>IF((IF(F135&lt;='Inputs and result'!$B$4,0,IF((F135-'Inputs and result'!$B$4)&lt;'Inputs and result'!$E$7+1,G135+$U$9*SQRT(Calcul!F135-'Inputs and result'!$B$4)*$U$8*$U$6,0)))&gt;$U$19,$U$19,(IF(F135&lt;='Inputs and result'!$B$4,0,IF((F135-'Inputs and result'!$B$4)&lt;'Inputs and result'!$E$7+1,G135+$U$9*SQRT(Calcul!F135-'Inputs and result'!$B$4)*$U$8*$U$6,0))))</f>
        <v>0</v>
      </c>
    </row>
    <row r="136" spans="6:9" x14ac:dyDescent="0.45">
      <c r="F136">
        <v>113</v>
      </c>
      <c r="G136" s="10">
        <f>IF(F136&gt;'Inputs and result'!$B$4,0,SUM($B$20:$B$21)*SQRT(F136))</f>
        <v>0</v>
      </c>
      <c r="H136">
        <f t="shared" si="2"/>
        <v>0</v>
      </c>
      <c r="I136" s="10">
        <f>IF((IF(F136&lt;='Inputs and result'!$B$4,0,IF((F136-'Inputs and result'!$B$4)&lt;'Inputs and result'!$E$7+1,G136+$U$9*SQRT(Calcul!F136-'Inputs and result'!$B$4)*$U$8*$U$6,0)))&gt;$U$19,$U$19,(IF(F136&lt;='Inputs and result'!$B$4,0,IF((F136-'Inputs and result'!$B$4)&lt;'Inputs and result'!$E$7+1,G136+$U$9*SQRT(Calcul!F136-'Inputs and result'!$B$4)*$U$8*$U$6,0))))</f>
        <v>0</v>
      </c>
    </row>
    <row r="137" spans="6:9" x14ac:dyDescent="0.45">
      <c r="F137">
        <v>114</v>
      </c>
      <c r="G137" s="10">
        <f>IF(F137&gt;'Inputs and result'!$B$4,0,SUM($B$20:$B$21)*SQRT(F137))</f>
        <v>0</v>
      </c>
      <c r="H137">
        <f t="shared" si="2"/>
        <v>0</v>
      </c>
      <c r="I137" s="10">
        <f>IF((IF(F137&lt;='Inputs and result'!$B$4,0,IF((F137-'Inputs and result'!$B$4)&lt;'Inputs and result'!$E$7+1,G137+$U$9*SQRT(Calcul!F137-'Inputs and result'!$B$4)*$U$8*$U$6,0)))&gt;$U$19,$U$19,(IF(F137&lt;='Inputs and result'!$B$4,0,IF((F137-'Inputs and result'!$B$4)&lt;'Inputs and result'!$E$7+1,G137+$U$9*SQRT(Calcul!F137-'Inputs and result'!$B$4)*$U$8*$U$6,0))))</f>
        <v>0</v>
      </c>
    </row>
    <row r="138" spans="6:9" x14ac:dyDescent="0.45">
      <c r="F138">
        <v>115</v>
      </c>
      <c r="G138" s="10">
        <f>IF(F138&gt;'Inputs and result'!$B$4,0,SUM($B$20:$B$21)*SQRT(F138))</f>
        <v>0</v>
      </c>
      <c r="H138">
        <f t="shared" si="2"/>
        <v>0</v>
      </c>
      <c r="I138" s="10">
        <f>IF((IF(F138&lt;='Inputs and result'!$B$4,0,IF((F138-'Inputs and result'!$B$4)&lt;'Inputs and result'!$E$7+1,G138+$U$9*SQRT(Calcul!F138-'Inputs and result'!$B$4)*$U$8*$U$6,0)))&gt;$U$19,$U$19,(IF(F138&lt;='Inputs and result'!$B$4,0,IF((F138-'Inputs and result'!$B$4)&lt;'Inputs and result'!$E$7+1,G138+$U$9*SQRT(Calcul!F138-'Inputs and result'!$B$4)*$U$8*$U$6,0))))</f>
        <v>0</v>
      </c>
    </row>
    <row r="139" spans="6:9" x14ac:dyDescent="0.45">
      <c r="F139">
        <v>116</v>
      </c>
      <c r="G139" s="10">
        <f>IF(F139&gt;'Inputs and result'!$B$4,0,SUM($B$20:$B$21)*SQRT(F139))</f>
        <v>0</v>
      </c>
      <c r="H139">
        <f t="shared" si="2"/>
        <v>0</v>
      </c>
      <c r="I139" s="10">
        <f>IF((IF(F139&lt;='Inputs and result'!$B$4,0,IF((F139-'Inputs and result'!$B$4)&lt;'Inputs and result'!$E$7+1,G139+$U$9*SQRT(Calcul!F139-'Inputs and result'!$B$4)*$U$8*$U$6,0)))&gt;$U$19,$U$19,(IF(F139&lt;='Inputs and result'!$B$4,0,IF((F139-'Inputs and result'!$B$4)&lt;'Inputs and result'!$E$7+1,G139+$U$9*SQRT(Calcul!F139-'Inputs and result'!$B$4)*$U$8*$U$6,0))))</f>
        <v>0</v>
      </c>
    </row>
    <row r="140" spans="6:9" x14ac:dyDescent="0.45">
      <c r="F140">
        <v>117</v>
      </c>
      <c r="G140" s="10">
        <f>IF(F140&gt;'Inputs and result'!$B$4,0,SUM($B$20:$B$21)*SQRT(F140))</f>
        <v>0</v>
      </c>
      <c r="H140">
        <f t="shared" si="2"/>
        <v>0</v>
      </c>
      <c r="I140" s="10">
        <f>IF((IF(F140&lt;='Inputs and result'!$B$4,0,IF((F140-'Inputs and result'!$B$4)&lt;'Inputs and result'!$E$7+1,G140+$U$9*SQRT(Calcul!F140-'Inputs and result'!$B$4)*$U$8*$U$6,0)))&gt;$U$19,$U$19,(IF(F140&lt;='Inputs and result'!$B$4,0,IF((F140-'Inputs and result'!$B$4)&lt;'Inputs and result'!$E$7+1,G140+$U$9*SQRT(Calcul!F140-'Inputs and result'!$B$4)*$U$8*$U$6,0))))</f>
        <v>0</v>
      </c>
    </row>
    <row r="141" spans="6:9" x14ac:dyDescent="0.45">
      <c r="F141">
        <v>118</v>
      </c>
      <c r="G141" s="10">
        <f>IF(F141&gt;'Inputs and result'!$B$4,0,SUM($B$20:$B$21)*SQRT(F141))</f>
        <v>0</v>
      </c>
      <c r="H141">
        <f t="shared" si="2"/>
        <v>0</v>
      </c>
      <c r="I141" s="10">
        <f>IF((IF(F141&lt;='Inputs and result'!$B$4,0,IF((F141-'Inputs and result'!$B$4)&lt;'Inputs and result'!$E$7+1,G141+$U$9*SQRT(Calcul!F141-'Inputs and result'!$B$4)*$U$8*$U$6,0)))&gt;$U$19,$U$19,(IF(F141&lt;='Inputs and result'!$B$4,0,IF((F141-'Inputs and result'!$B$4)&lt;'Inputs and result'!$E$7+1,G141+$U$9*SQRT(Calcul!F141-'Inputs and result'!$B$4)*$U$8*$U$6,0))))</f>
        <v>0</v>
      </c>
    </row>
    <row r="142" spans="6:9" x14ac:dyDescent="0.45">
      <c r="F142">
        <v>119</v>
      </c>
      <c r="G142" s="10">
        <f>IF(F142&gt;'Inputs and result'!$B$4,0,SUM($B$20:$B$21)*SQRT(F142))</f>
        <v>0</v>
      </c>
      <c r="H142">
        <f t="shared" si="2"/>
        <v>0</v>
      </c>
      <c r="I142" s="10">
        <f>IF((IF(F142&lt;='Inputs and result'!$B$4,0,IF((F142-'Inputs and result'!$B$4)&lt;'Inputs and result'!$E$7+1,G142+$U$9*SQRT(Calcul!F142-'Inputs and result'!$B$4)*$U$8*$U$6,0)))&gt;$U$19,$U$19,(IF(F142&lt;='Inputs and result'!$B$4,0,IF((F142-'Inputs and result'!$B$4)&lt;'Inputs and result'!$E$7+1,G142+$U$9*SQRT(Calcul!F142-'Inputs and result'!$B$4)*$U$8*$U$6,0))))</f>
        <v>0</v>
      </c>
    </row>
    <row r="143" spans="6:9" x14ac:dyDescent="0.45">
      <c r="F143">
        <v>120</v>
      </c>
      <c r="G143" s="10">
        <f>IF(F143&gt;'Inputs and result'!$B$4,0,SUM($B$20:$B$21)*SQRT(F143))</f>
        <v>0</v>
      </c>
      <c r="H143">
        <f t="shared" si="2"/>
        <v>0</v>
      </c>
      <c r="I143" s="10">
        <f>IF((IF(F143&lt;='Inputs and result'!$B$4,0,IF((F143-'Inputs and result'!$B$4)&lt;'Inputs and result'!$E$7+1,G143+$U$9*SQRT(Calcul!F143-'Inputs and result'!$B$4)*$U$8*$U$6,0)))&gt;$U$19,$U$19,(IF(F143&lt;='Inputs and result'!$B$4,0,IF((F143-'Inputs and result'!$B$4)&lt;'Inputs and result'!$E$7+1,G143+$U$9*SQRT(Calcul!F143-'Inputs and result'!$B$4)*$U$8*$U$6,0))))</f>
        <v>0</v>
      </c>
    </row>
    <row r="144" spans="6:9" x14ac:dyDescent="0.45">
      <c r="F144">
        <v>121</v>
      </c>
      <c r="G144" s="10">
        <f>IF(F144&gt;'Inputs and result'!$B$4,0,SUM($B$20:$B$21)*SQRT(F144))</f>
        <v>0</v>
      </c>
      <c r="H144">
        <f t="shared" si="2"/>
        <v>0</v>
      </c>
      <c r="I144" s="10">
        <f>IF((IF(F144&lt;='Inputs and result'!$B$4,0,IF((F144-'Inputs and result'!$B$4)&lt;'Inputs and result'!$E$7+1,G144+$U$9*SQRT(Calcul!F144-'Inputs and result'!$B$4)*$U$8*$U$6,0)))&gt;$U$19,$U$19,(IF(F144&lt;='Inputs and result'!$B$4,0,IF((F144-'Inputs and result'!$B$4)&lt;'Inputs and result'!$E$7+1,G144+$U$9*SQRT(Calcul!F144-'Inputs and result'!$B$4)*$U$8*$U$6,0))))</f>
        <v>0</v>
      </c>
    </row>
    <row r="145" spans="6:9" x14ac:dyDescent="0.45">
      <c r="F145">
        <v>122</v>
      </c>
      <c r="G145" s="10">
        <f>IF(F145&gt;'Inputs and result'!$B$4,0,SUM($B$20:$B$21)*SQRT(F145))</f>
        <v>0</v>
      </c>
      <c r="H145">
        <f t="shared" si="2"/>
        <v>0</v>
      </c>
      <c r="I145" s="10">
        <f>IF((IF(F145&lt;='Inputs and result'!$B$4,0,IF((F145-'Inputs and result'!$B$4)&lt;'Inputs and result'!$E$7+1,G145+$U$9*SQRT(Calcul!F145-'Inputs and result'!$B$4)*$U$8*$U$6,0)))&gt;$U$19,$U$19,(IF(F145&lt;='Inputs and result'!$B$4,0,IF((F145-'Inputs and result'!$B$4)&lt;'Inputs and result'!$E$7+1,G145+$U$9*SQRT(Calcul!F145-'Inputs and result'!$B$4)*$U$8*$U$6,0))))</f>
        <v>0</v>
      </c>
    </row>
    <row r="146" spans="6:9" x14ac:dyDescent="0.45">
      <c r="F146">
        <v>123</v>
      </c>
      <c r="G146" s="10">
        <f>IF(F146&gt;'Inputs and result'!$B$4,0,SUM($B$20:$B$21)*SQRT(F146))</f>
        <v>0</v>
      </c>
      <c r="H146">
        <f t="shared" si="2"/>
        <v>0</v>
      </c>
      <c r="I146" s="10">
        <f>IF((IF(F146&lt;='Inputs and result'!$B$4,0,IF((F146-'Inputs and result'!$B$4)&lt;'Inputs and result'!$E$7+1,G146+$U$9*SQRT(Calcul!F146-'Inputs and result'!$B$4)*$U$8*$U$6,0)))&gt;$U$19,$U$19,(IF(F146&lt;='Inputs and result'!$B$4,0,IF((F146-'Inputs and result'!$B$4)&lt;'Inputs and result'!$E$7+1,G146+$U$9*SQRT(Calcul!F146-'Inputs and result'!$B$4)*$U$8*$U$6,0))))</f>
        <v>0</v>
      </c>
    </row>
    <row r="147" spans="6:9" x14ac:dyDescent="0.45">
      <c r="F147">
        <v>124</v>
      </c>
      <c r="G147" s="10">
        <f>IF(F147&gt;'Inputs and result'!$B$4,0,SUM($B$20:$B$21)*SQRT(F147))</f>
        <v>0</v>
      </c>
      <c r="H147">
        <f t="shared" si="2"/>
        <v>0</v>
      </c>
      <c r="I147" s="10">
        <f>IF((IF(F147&lt;='Inputs and result'!$B$4,0,IF((F147-'Inputs and result'!$B$4)&lt;'Inputs and result'!$E$7+1,G147+$U$9*SQRT(Calcul!F147-'Inputs and result'!$B$4)*$U$8*$U$6,0)))&gt;$U$19,$U$19,(IF(F147&lt;='Inputs and result'!$B$4,0,IF((F147-'Inputs and result'!$B$4)&lt;'Inputs and result'!$E$7+1,G147+$U$9*SQRT(Calcul!F147-'Inputs and result'!$B$4)*$U$8*$U$6,0))))</f>
        <v>0</v>
      </c>
    </row>
    <row r="148" spans="6:9" x14ac:dyDescent="0.45">
      <c r="F148">
        <v>125</v>
      </c>
      <c r="G148" s="10">
        <f>IF(F148&gt;'Inputs and result'!$B$4,0,SUM($B$20:$B$21)*SQRT(F148))</f>
        <v>0</v>
      </c>
      <c r="H148">
        <f t="shared" si="2"/>
        <v>0</v>
      </c>
      <c r="I148" s="10">
        <f>IF((IF(F148&lt;='Inputs and result'!$B$4,0,IF((F148-'Inputs and result'!$B$4)&lt;'Inputs and result'!$E$7+1,G148+$U$9*SQRT(Calcul!F148-'Inputs and result'!$B$4)*$U$8*$U$6,0)))&gt;$U$19,$U$19,(IF(F148&lt;='Inputs and result'!$B$4,0,IF((F148-'Inputs and result'!$B$4)&lt;'Inputs and result'!$E$7+1,G148+$U$9*SQRT(Calcul!F148-'Inputs and result'!$B$4)*$U$8*$U$6,0))))</f>
        <v>0</v>
      </c>
    </row>
    <row r="149" spans="6:9" x14ac:dyDescent="0.45">
      <c r="F149">
        <v>126</v>
      </c>
      <c r="G149" s="10">
        <f>IF(F149&gt;'Inputs and result'!$B$4,0,SUM($B$20:$B$21)*SQRT(F149))</f>
        <v>0</v>
      </c>
      <c r="H149">
        <f t="shared" si="2"/>
        <v>0</v>
      </c>
      <c r="I149" s="10">
        <f>IF((IF(F149&lt;='Inputs and result'!$B$4,0,IF((F149-'Inputs and result'!$B$4)&lt;'Inputs and result'!$E$7+1,G149+$U$9*SQRT(Calcul!F149-'Inputs and result'!$B$4)*$U$8*$U$6,0)))&gt;$U$19,$U$19,(IF(F149&lt;='Inputs and result'!$B$4,0,IF((F149-'Inputs and result'!$B$4)&lt;'Inputs and result'!$E$7+1,G149+$U$9*SQRT(Calcul!F149-'Inputs and result'!$B$4)*$U$8*$U$6,0))))</f>
        <v>0</v>
      </c>
    </row>
    <row r="150" spans="6:9" x14ac:dyDescent="0.45">
      <c r="F150">
        <v>127</v>
      </c>
      <c r="G150" s="10">
        <f>IF(F150&gt;'Inputs and result'!$B$4,0,SUM($B$20:$B$21)*SQRT(F150))</f>
        <v>0</v>
      </c>
      <c r="H150">
        <f t="shared" si="2"/>
        <v>0</v>
      </c>
      <c r="I150" s="10">
        <f>IF((IF(F150&lt;='Inputs and result'!$B$4,0,IF((F150-'Inputs and result'!$B$4)&lt;'Inputs and result'!$E$7+1,G150+$U$9*SQRT(Calcul!F150-'Inputs and result'!$B$4)*$U$8*$U$6,0)))&gt;$U$19,$U$19,(IF(F150&lt;='Inputs and result'!$B$4,0,IF((F150-'Inputs and result'!$B$4)&lt;'Inputs and result'!$E$7+1,G150+$U$9*SQRT(Calcul!F150-'Inputs and result'!$B$4)*$U$8*$U$6,0))))</f>
        <v>0</v>
      </c>
    </row>
    <row r="151" spans="6:9" x14ac:dyDescent="0.45">
      <c r="F151">
        <v>128</v>
      </c>
      <c r="G151" s="10">
        <f>IF(F151&gt;'Inputs and result'!$B$4,0,SUM($B$20:$B$21)*SQRT(F151))</f>
        <v>0</v>
      </c>
      <c r="H151">
        <f t="shared" si="2"/>
        <v>0</v>
      </c>
      <c r="I151" s="10">
        <f>IF((IF(F151&lt;='Inputs and result'!$B$4,0,IF((F151-'Inputs and result'!$B$4)&lt;'Inputs and result'!$E$7+1,G151+$U$9*SQRT(Calcul!F151-'Inputs and result'!$B$4)*$U$8*$U$6,0)))&gt;$U$19,$U$19,(IF(F151&lt;='Inputs and result'!$B$4,0,IF((F151-'Inputs and result'!$B$4)&lt;'Inputs and result'!$E$7+1,G151+$U$9*SQRT(Calcul!F151-'Inputs and result'!$B$4)*$U$8*$U$6,0))))</f>
        <v>0</v>
      </c>
    </row>
    <row r="152" spans="6:9" x14ac:dyDescent="0.45">
      <c r="F152">
        <v>129</v>
      </c>
      <c r="G152" s="10">
        <f>IF(F152&gt;'Inputs and result'!$B$4,0,SUM($B$20:$B$21)*SQRT(F152))</f>
        <v>0</v>
      </c>
      <c r="H152">
        <f t="shared" si="2"/>
        <v>0</v>
      </c>
      <c r="I152" s="10">
        <f>IF((IF(F152&lt;='Inputs and result'!$B$4,0,IF((F152-'Inputs and result'!$B$4)&lt;'Inputs and result'!$E$7+1,G152+$U$9*SQRT(Calcul!F152-'Inputs and result'!$B$4)*$U$8*$U$6,0)))&gt;$U$19,$U$19,(IF(F152&lt;='Inputs and result'!$B$4,0,IF((F152-'Inputs and result'!$B$4)&lt;'Inputs and result'!$E$7+1,G152+$U$9*SQRT(Calcul!F152-'Inputs and result'!$B$4)*$U$8*$U$6,0))))</f>
        <v>0</v>
      </c>
    </row>
    <row r="153" spans="6:9" x14ac:dyDescent="0.45">
      <c r="F153">
        <v>130</v>
      </c>
      <c r="G153" s="10">
        <f>IF(F153&gt;'Inputs and result'!$B$4,0,SUM($B$20:$B$21)*SQRT(F153))</f>
        <v>0</v>
      </c>
      <c r="H153">
        <f t="shared" ref="H153:H216" si="3">IF($U$3&gt;0,I153,0)</f>
        <v>0</v>
      </c>
      <c r="I153" s="10">
        <f>IF((IF(F153&lt;='Inputs and result'!$B$4,0,IF((F153-'Inputs and result'!$B$4)&lt;'Inputs and result'!$E$7+1,G153+$U$9*SQRT(Calcul!F153-'Inputs and result'!$B$4)*$U$8*$U$6,0)))&gt;$U$19,$U$19,(IF(F153&lt;='Inputs and result'!$B$4,0,IF((F153-'Inputs and result'!$B$4)&lt;'Inputs and result'!$E$7+1,G153+$U$9*SQRT(Calcul!F153-'Inputs and result'!$B$4)*$U$8*$U$6,0))))</f>
        <v>0</v>
      </c>
    </row>
    <row r="154" spans="6:9" x14ac:dyDescent="0.45">
      <c r="F154">
        <v>131</v>
      </c>
      <c r="G154" s="10">
        <f>IF(F154&gt;'Inputs and result'!$B$4,0,SUM($B$20:$B$21)*SQRT(F154))</f>
        <v>0</v>
      </c>
      <c r="H154">
        <f t="shared" si="3"/>
        <v>0</v>
      </c>
      <c r="I154" s="10">
        <f>IF((IF(F154&lt;='Inputs and result'!$B$4,0,IF((F154-'Inputs and result'!$B$4)&lt;'Inputs and result'!$E$7+1,G154+$U$9*SQRT(Calcul!F154-'Inputs and result'!$B$4)*$U$8*$U$6,0)))&gt;$U$19,$U$19,(IF(F154&lt;='Inputs and result'!$B$4,0,IF((F154-'Inputs and result'!$B$4)&lt;'Inputs and result'!$E$7+1,G154+$U$9*SQRT(Calcul!F154-'Inputs and result'!$B$4)*$U$8*$U$6,0))))</f>
        <v>0</v>
      </c>
    </row>
    <row r="155" spans="6:9" x14ac:dyDescent="0.45">
      <c r="F155">
        <v>132</v>
      </c>
      <c r="G155" s="10">
        <f>IF(F155&gt;'Inputs and result'!$B$4,0,SUM($B$20:$B$21)*SQRT(F155))</f>
        <v>0</v>
      </c>
      <c r="H155">
        <f t="shared" si="3"/>
        <v>0</v>
      </c>
      <c r="I155" s="10">
        <f>IF((IF(F155&lt;='Inputs and result'!$B$4,0,IF((F155-'Inputs and result'!$B$4)&lt;'Inputs and result'!$E$7+1,G155+$U$9*SQRT(Calcul!F155-'Inputs and result'!$B$4)*$U$8*$U$6,0)))&gt;$U$19,$U$19,(IF(F155&lt;='Inputs and result'!$B$4,0,IF((F155-'Inputs and result'!$B$4)&lt;'Inputs and result'!$E$7+1,G155+$U$9*SQRT(Calcul!F155-'Inputs and result'!$B$4)*$U$8*$U$6,0))))</f>
        <v>0</v>
      </c>
    </row>
    <row r="156" spans="6:9" x14ac:dyDescent="0.45">
      <c r="F156">
        <v>133</v>
      </c>
      <c r="G156" s="10">
        <f>IF(F156&gt;'Inputs and result'!$B$4,0,SUM($B$20:$B$21)*SQRT(F156))</f>
        <v>0</v>
      </c>
      <c r="H156">
        <f t="shared" si="3"/>
        <v>0</v>
      </c>
      <c r="I156" s="10">
        <f>IF((IF(F156&lt;='Inputs and result'!$B$4,0,IF((F156-'Inputs and result'!$B$4)&lt;'Inputs and result'!$E$7+1,G156+$U$9*SQRT(Calcul!F156-'Inputs and result'!$B$4)*$U$8*$U$6,0)))&gt;$U$19,$U$19,(IF(F156&lt;='Inputs and result'!$B$4,0,IF((F156-'Inputs and result'!$B$4)&lt;'Inputs and result'!$E$7+1,G156+$U$9*SQRT(Calcul!F156-'Inputs and result'!$B$4)*$U$8*$U$6,0))))</f>
        <v>0</v>
      </c>
    </row>
    <row r="157" spans="6:9" x14ac:dyDescent="0.45">
      <c r="F157">
        <v>134</v>
      </c>
      <c r="G157" s="10">
        <f>IF(F157&gt;'Inputs and result'!$B$4,0,SUM($B$20:$B$21)*SQRT(F157))</f>
        <v>0</v>
      </c>
      <c r="H157">
        <f t="shared" si="3"/>
        <v>0</v>
      </c>
      <c r="I157" s="10">
        <f>IF((IF(F157&lt;='Inputs and result'!$B$4,0,IF((F157-'Inputs and result'!$B$4)&lt;'Inputs and result'!$E$7+1,G157+$U$9*SQRT(Calcul!F157-'Inputs and result'!$B$4)*$U$8*$U$6,0)))&gt;$U$19,$U$19,(IF(F157&lt;='Inputs and result'!$B$4,0,IF((F157-'Inputs and result'!$B$4)&lt;'Inputs and result'!$E$7+1,G157+$U$9*SQRT(Calcul!F157-'Inputs and result'!$B$4)*$U$8*$U$6,0))))</f>
        <v>0</v>
      </c>
    </row>
    <row r="158" spans="6:9" x14ac:dyDescent="0.45">
      <c r="F158">
        <v>135</v>
      </c>
      <c r="G158" s="10">
        <f>IF(F158&gt;'Inputs and result'!$B$4,0,SUM($B$20:$B$21)*SQRT(F158))</f>
        <v>0</v>
      </c>
      <c r="H158">
        <f t="shared" si="3"/>
        <v>0</v>
      </c>
      <c r="I158" s="10">
        <f>IF((IF(F158&lt;='Inputs and result'!$B$4,0,IF((F158-'Inputs and result'!$B$4)&lt;'Inputs and result'!$E$7+1,G158+$U$9*SQRT(Calcul!F158-'Inputs and result'!$B$4)*$U$8*$U$6,0)))&gt;$U$19,$U$19,(IF(F158&lt;='Inputs and result'!$B$4,0,IF((F158-'Inputs and result'!$B$4)&lt;'Inputs and result'!$E$7+1,G158+$U$9*SQRT(Calcul!F158-'Inputs and result'!$B$4)*$U$8*$U$6,0))))</f>
        <v>0</v>
      </c>
    </row>
    <row r="159" spans="6:9" x14ac:dyDescent="0.45">
      <c r="F159">
        <v>136</v>
      </c>
      <c r="G159" s="10">
        <f>IF(F159&gt;'Inputs and result'!$B$4,0,SUM($B$20:$B$21)*SQRT(F159))</f>
        <v>0</v>
      </c>
      <c r="H159">
        <f t="shared" si="3"/>
        <v>0</v>
      </c>
      <c r="I159" s="10">
        <f>IF((IF(F159&lt;='Inputs and result'!$B$4,0,IF((F159-'Inputs and result'!$B$4)&lt;'Inputs and result'!$E$7+1,G159+$U$9*SQRT(Calcul!F159-'Inputs and result'!$B$4)*$U$8*$U$6,0)))&gt;$U$19,$U$19,(IF(F159&lt;='Inputs and result'!$B$4,0,IF((F159-'Inputs and result'!$B$4)&lt;'Inputs and result'!$E$7+1,G159+$U$9*SQRT(Calcul!F159-'Inputs and result'!$B$4)*$U$8*$U$6,0))))</f>
        <v>0</v>
      </c>
    </row>
    <row r="160" spans="6:9" x14ac:dyDescent="0.45">
      <c r="F160">
        <v>137</v>
      </c>
      <c r="G160" s="10">
        <f>IF(F160&gt;'Inputs and result'!$B$4,0,SUM($B$20:$B$21)*SQRT(F160))</f>
        <v>0</v>
      </c>
      <c r="H160">
        <f t="shared" si="3"/>
        <v>0</v>
      </c>
      <c r="I160" s="10">
        <f>IF((IF(F160&lt;='Inputs and result'!$B$4,0,IF((F160-'Inputs and result'!$B$4)&lt;'Inputs and result'!$E$7+1,G160+$U$9*SQRT(Calcul!F160-'Inputs and result'!$B$4)*$U$8*$U$6,0)))&gt;$U$19,$U$19,(IF(F160&lt;='Inputs and result'!$B$4,0,IF((F160-'Inputs and result'!$B$4)&lt;'Inputs and result'!$E$7+1,G160+$U$9*SQRT(Calcul!F160-'Inputs and result'!$B$4)*$U$8*$U$6,0))))</f>
        <v>0</v>
      </c>
    </row>
    <row r="161" spans="6:9" x14ac:dyDescent="0.45">
      <c r="F161">
        <v>138</v>
      </c>
      <c r="G161" s="10">
        <f>IF(F161&gt;'Inputs and result'!$B$4,0,SUM($B$20:$B$21)*SQRT(F161))</f>
        <v>0</v>
      </c>
      <c r="H161">
        <f t="shared" si="3"/>
        <v>0</v>
      </c>
      <c r="I161" s="10">
        <f>IF((IF(F161&lt;='Inputs and result'!$B$4,0,IF((F161-'Inputs and result'!$B$4)&lt;'Inputs and result'!$E$7+1,G161+$U$9*SQRT(Calcul!F161-'Inputs and result'!$B$4)*$U$8*$U$6,0)))&gt;$U$19,$U$19,(IF(F161&lt;='Inputs and result'!$B$4,0,IF((F161-'Inputs and result'!$B$4)&lt;'Inputs and result'!$E$7+1,G161+$U$9*SQRT(Calcul!F161-'Inputs and result'!$B$4)*$U$8*$U$6,0))))</f>
        <v>0</v>
      </c>
    </row>
    <row r="162" spans="6:9" x14ac:dyDescent="0.45">
      <c r="F162">
        <v>139</v>
      </c>
      <c r="G162" s="10">
        <f>IF(F162&gt;'Inputs and result'!$B$4,0,SUM($B$20:$B$21)*SQRT(F162))</f>
        <v>0</v>
      </c>
      <c r="H162">
        <f t="shared" si="3"/>
        <v>0</v>
      </c>
      <c r="I162" s="10">
        <f>IF((IF(F162&lt;='Inputs and result'!$B$4,0,IF((F162-'Inputs and result'!$B$4)&lt;'Inputs and result'!$E$7+1,G162+$U$9*SQRT(Calcul!F162-'Inputs and result'!$B$4)*$U$8*$U$6,0)))&gt;$U$19,$U$19,(IF(F162&lt;='Inputs and result'!$B$4,0,IF((F162-'Inputs and result'!$B$4)&lt;'Inputs and result'!$E$7+1,G162+$U$9*SQRT(Calcul!F162-'Inputs and result'!$B$4)*$U$8*$U$6,0))))</f>
        <v>0</v>
      </c>
    </row>
    <row r="163" spans="6:9" x14ac:dyDescent="0.45">
      <c r="F163">
        <v>140</v>
      </c>
      <c r="G163" s="10">
        <f>IF(F163&gt;'Inputs and result'!$B$4,0,SUM($B$20:$B$21)*SQRT(F163))</f>
        <v>0</v>
      </c>
      <c r="H163">
        <f t="shared" si="3"/>
        <v>0</v>
      </c>
      <c r="I163" s="10">
        <f>IF((IF(F163&lt;='Inputs and result'!$B$4,0,IF((F163-'Inputs and result'!$B$4)&lt;'Inputs and result'!$E$7+1,G163+$U$9*SQRT(Calcul!F163-'Inputs and result'!$B$4)*$U$8*$U$6,0)))&gt;$U$19,$U$19,(IF(F163&lt;='Inputs and result'!$B$4,0,IF((F163-'Inputs and result'!$B$4)&lt;'Inputs and result'!$E$7+1,G163+$U$9*SQRT(Calcul!F163-'Inputs and result'!$B$4)*$U$8*$U$6,0))))</f>
        <v>0</v>
      </c>
    </row>
    <row r="164" spans="6:9" x14ac:dyDescent="0.45">
      <c r="F164">
        <v>141</v>
      </c>
      <c r="G164" s="10">
        <f>IF(F164&gt;'Inputs and result'!$B$4,0,SUM($B$20:$B$21)*SQRT(F164))</f>
        <v>0</v>
      </c>
      <c r="H164">
        <f t="shared" si="3"/>
        <v>0</v>
      </c>
      <c r="I164" s="10">
        <f>IF((IF(F164&lt;='Inputs and result'!$B$4,0,IF((F164-'Inputs and result'!$B$4)&lt;'Inputs and result'!$E$7+1,G164+$U$9*SQRT(Calcul!F164-'Inputs and result'!$B$4)*$U$8*$U$6,0)))&gt;$U$19,$U$19,(IF(F164&lt;='Inputs and result'!$B$4,0,IF((F164-'Inputs and result'!$B$4)&lt;'Inputs and result'!$E$7+1,G164+$U$9*SQRT(Calcul!F164-'Inputs and result'!$B$4)*$U$8*$U$6,0))))</f>
        <v>0</v>
      </c>
    </row>
    <row r="165" spans="6:9" x14ac:dyDescent="0.45">
      <c r="F165">
        <v>142</v>
      </c>
      <c r="G165" s="10">
        <f>IF(F165&gt;'Inputs and result'!$B$4,0,SUM($B$20:$B$21)*SQRT(F165))</f>
        <v>0</v>
      </c>
      <c r="H165">
        <f t="shared" si="3"/>
        <v>0</v>
      </c>
      <c r="I165" s="10">
        <f>IF((IF(F165&lt;='Inputs and result'!$B$4,0,IF((F165-'Inputs and result'!$B$4)&lt;'Inputs and result'!$E$7+1,G165+$U$9*SQRT(Calcul!F165-'Inputs and result'!$B$4)*$U$8*$U$6,0)))&gt;$U$19,$U$19,(IF(F165&lt;='Inputs and result'!$B$4,0,IF((F165-'Inputs and result'!$B$4)&lt;'Inputs and result'!$E$7+1,G165+$U$9*SQRT(Calcul!F165-'Inputs and result'!$B$4)*$U$8*$U$6,0))))</f>
        <v>0</v>
      </c>
    </row>
    <row r="166" spans="6:9" x14ac:dyDescent="0.45">
      <c r="F166">
        <v>143</v>
      </c>
      <c r="G166" s="10">
        <f>IF(F166&gt;'Inputs and result'!$B$4,0,SUM($B$20:$B$21)*SQRT(F166))</f>
        <v>0</v>
      </c>
      <c r="H166">
        <f t="shared" si="3"/>
        <v>0</v>
      </c>
      <c r="I166" s="10">
        <f>IF((IF(F166&lt;='Inputs and result'!$B$4,0,IF((F166-'Inputs and result'!$B$4)&lt;'Inputs and result'!$E$7+1,G166+$U$9*SQRT(Calcul!F166-'Inputs and result'!$B$4)*$U$8*$U$6,0)))&gt;$U$19,$U$19,(IF(F166&lt;='Inputs and result'!$B$4,0,IF((F166-'Inputs and result'!$B$4)&lt;'Inputs and result'!$E$7+1,G166+$U$9*SQRT(Calcul!F166-'Inputs and result'!$B$4)*$U$8*$U$6,0))))</f>
        <v>0</v>
      </c>
    </row>
    <row r="167" spans="6:9" x14ac:dyDescent="0.45">
      <c r="F167">
        <v>144</v>
      </c>
      <c r="G167" s="10">
        <f>IF(F167&gt;'Inputs and result'!$B$4,0,SUM($B$20:$B$21)*SQRT(F167))</f>
        <v>0</v>
      </c>
      <c r="H167">
        <f t="shared" si="3"/>
        <v>0</v>
      </c>
      <c r="I167" s="10">
        <f>IF((IF(F167&lt;='Inputs and result'!$B$4,0,IF((F167-'Inputs and result'!$B$4)&lt;'Inputs and result'!$E$7+1,G167+$U$9*SQRT(Calcul!F167-'Inputs and result'!$B$4)*$U$8*$U$6,0)))&gt;$U$19,$U$19,(IF(F167&lt;='Inputs and result'!$B$4,0,IF((F167-'Inputs and result'!$B$4)&lt;'Inputs and result'!$E$7+1,G167+$U$9*SQRT(Calcul!F167-'Inputs and result'!$B$4)*$U$8*$U$6,0))))</f>
        <v>0</v>
      </c>
    </row>
    <row r="168" spans="6:9" x14ac:dyDescent="0.45">
      <c r="F168">
        <v>145</v>
      </c>
      <c r="G168" s="10">
        <f>IF(F168&gt;'Inputs and result'!$B$4,0,SUM($B$20:$B$21)*SQRT(F168))</f>
        <v>0</v>
      </c>
      <c r="H168">
        <f t="shared" si="3"/>
        <v>0</v>
      </c>
      <c r="I168" s="10">
        <f>IF((IF(F168&lt;='Inputs and result'!$B$4,0,IF((F168-'Inputs and result'!$B$4)&lt;'Inputs and result'!$E$7+1,G168+$U$9*SQRT(Calcul!F168-'Inputs and result'!$B$4)*$U$8*$U$6,0)))&gt;$U$19,$U$19,(IF(F168&lt;='Inputs and result'!$B$4,0,IF((F168-'Inputs and result'!$B$4)&lt;'Inputs and result'!$E$7+1,G168+$U$9*SQRT(Calcul!F168-'Inputs and result'!$B$4)*$U$8*$U$6,0))))</f>
        <v>0</v>
      </c>
    </row>
    <row r="169" spans="6:9" x14ac:dyDescent="0.45">
      <c r="F169">
        <v>146</v>
      </c>
      <c r="G169" s="10">
        <f>IF(F169&gt;'Inputs and result'!$B$4,0,SUM($B$20:$B$21)*SQRT(F169))</f>
        <v>0</v>
      </c>
      <c r="H169">
        <f t="shared" si="3"/>
        <v>0</v>
      </c>
      <c r="I169" s="10">
        <f>IF((IF(F169&lt;='Inputs and result'!$B$4,0,IF((F169-'Inputs and result'!$B$4)&lt;'Inputs and result'!$E$7+1,G169+$U$9*SQRT(Calcul!F169-'Inputs and result'!$B$4)*$U$8*$U$6,0)))&gt;$U$19,$U$19,(IF(F169&lt;='Inputs and result'!$B$4,0,IF((F169-'Inputs and result'!$B$4)&lt;'Inputs and result'!$E$7+1,G169+$U$9*SQRT(Calcul!F169-'Inputs and result'!$B$4)*$U$8*$U$6,0))))</f>
        <v>0</v>
      </c>
    </row>
    <row r="170" spans="6:9" x14ac:dyDescent="0.45">
      <c r="F170">
        <v>147</v>
      </c>
      <c r="G170" s="10">
        <f>IF(F170&gt;'Inputs and result'!$B$4,0,SUM($B$20:$B$21)*SQRT(F170))</f>
        <v>0</v>
      </c>
      <c r="H170">
        <f t="shared" si="3"/>
        <v>0</v>
      </c>
      <c r="I170" s="10">
        <f>IF((IF(F170&lt;='Inputs and result'!$B$4,0,IF((F170-'Inputs and result'!$B$4)&lt;'Inputs and result'!$E$7+1,G170+$U$9*SQRT(Calcul!F170-'Inputs and result'!$B$4)*$U$8*$U$6,0)))&gt;$U$19,$U$19,(IF(F170&lt;='Inputs and result'!$B$4,0,IF((F170-'Inputs and result'!$B$4)&lt;'Inputs and result'!$E$7+1,G170+$U$9*SQRT(Calcul!F170-'Inputs and result'!$B$4)*$U$8*$U$6,0))))</f>
        <v>0</v>
      </c>
    </row>
    <row r="171" spans="6:9" x14ac:dyDescent="0.45">
      <c r="F171">
        <v>148</v>
      </c>
      <c r="G171" s="10">
        <f>IF(F171&gt;'Inputs and result'!$B$4,0,SUM($B$20:$B$21)*SQRT(F171))</f>
        <v>0</v>
      </c>
      <c r="H171">
        <f t="shared" si="3"/>
        <v>0</v>
      </c>
      <c r="I171" s="10">
        <f>IF((IF(F171&lt;='Inputs and result'!$B$4,0,IF((F171-'Inputs and result'!$B$4)&lt;'Inputs and result'!$E$7+1,G171+$U$9*SQRT(Calcul!F171-'Inputs and result'!$B$4)*$U$8*$U$6,0)))&gt;$U$19,$U$19,(IF(F171&lt;='Inputs and result'!$B$4,0,IF((F171-'Inputs and result'!$B$4)&lt;'Inputs and result'!$E$7+1,G171+$U$9*SQRT(Calcul!F171-'Inputs and result'!$B$4)*$U$8*$U$6,0))))</f>
        <v>0</v>
      </c>
    </row>
    <row r="172" spans="6:9" x14ac:dyDescent="0.45">
      <c r="F172">
        <v>149</v>
      </c>
      <c r="G172" s="10">
        <f>IF(F172&gt;'Inputs and result'!$B$4,0,SUM($B$20:$B$21)*SQRT(F172))</f>
        <v>0</v>
      </c>
      <c r="H172">
        <f t="shared" si="3"/>
        <v>0</v>
      </c>
      <c r="I172" s="10">
        <f>IF((IF(F172&lt;='Inputs and result'!$B$4,0,IF((F172-'Inputs and result'!$B$4)&lt;'Inputs and result'!$E$7+1,G172+$U$9*SQRT(Calcul!F172-'Inputs and result'!$B$4)*$U$8*$U$6,0)))&gt;$U$19,$U$19,(IF(F172&lt;='Inputs and result'!$B$4,0,IF((F172-'Inputs and result'!$B$4)&lt;'Inputs and result'!$E$7+1,G172+$U$9*SQRT(Calcul!F172-'Inputs and result'!$B$4)*$U$8*$U$6,0))))</f>
        <v>0</v>
      </c>
    </row>
    <row r="173" spans="6:9" x14ac:dyDescent="0.45">
      <c r="F173">
        <v>150</v>
      </c>
      <c r="G173" s="10">
        <f>IF(F173&gt;'Inputs and result'!$B$4,0,SUM($B$20:$B$21)*SQRT(F173))</f>
        <v>0</v>
      </c>
      <c r="H173">
        <f t="shared" si="3"/>
        <v>0</v>
      </c>
      <c r="I173" s="10">
        <f>IF((IF(F173&lt;='Inputs and result'!$B$4,0,IF((F173-'Inputs and result'!$B$4)&lt;'Inputs and result'!$E$7+1,G173+$U$9*SQRT(Calcul!F173-'Inputs and result'!$B$4)*$U$8*$U$6,0)))&gt;$U$19,$U$19,(IF(F173&lt;='Inputs and result'!$B$4,0,IF((F173-'Inputs and result'!$B$4)&lt;'Inputs and result'!$E$7+1,G173+$U$9*SQRT(Calcul!F173-'Inputs and result'!$B$4)*$U$8*$U$6,0))))</f>
        <v>0</v>
      </c>
    </row>
    <row r="174" spans="6:9" x14ac:dyDescent="0.45">
      <c r="F174">
        <v>151</v>
      </c>
      <c r="G174" s="10">
        <f>IF(F174&gt;'Inputs and result'!$B$4,0,SUM($B$20:$B$21)*SQRT(F174))</f>
        <v>0</v>
      </c>
      <c r="H174">
        <f t="shared" si="3"/>
        <v>0</v>
      </c>
      <c r="I174" s="10">
        <f>IF((IF(F174&lt;='Inputs and result'!$B$4,0,IF((F174-'Inputs and result'!$B$4)&lt;'Inputs and result'!$E$7+1,G174+$U$9*SQRT(Calcul!F174-'Inputs and result'!$B$4)*$U$8*$U$6,0)))&gt;$U$19,$U$19,(IF(F174&lt;='Inputs and result'!$B$4,0,IF((F174-'Inputs and result'!$B$4)&lt;'Inputs and result'!$E$7+1,G174+$U$9*SQRT(Calcul!F174-'Inputs and result'!$B$4)*$U$8*$U$6,0))))</f>
        <v>0</v>
      </c>
    </row>
    <row r="175" spans="6:9" x14ac:dyDescent="0.45">
      <c r="F175">
        <v>152</v>
      </c>
      <c r="G175" s="10">
        <f>IF(F175&gt;'Inputs and result'!$B$4,0,SUM($B$20:$B$21)*SQRT(F175))</f>
        <v>0</v>
      </c>
      <c r="H175">
        <f t="shared" si="3"/>
        <v>0</v>
      </c>
      <c r="I175" s="10">
        <f>IF((IF(F175&lt;='Inputs and result'!$B$4,0,IF((F175-'Inputs and result'!$B$4)&lt;'Inputs and result'!$E$7+1,G175+$U$9*SQRT(Calcul!F175-'Inputs and result'!$B$4)*$U$8*$U$6,0)))&gt;$U$19,$U$19,(IF(F175&lt;='Inputs and result'!$B$4,0,IF((F175-'Inputs and result'!$B$4)&lt;'Inputs and result'!$E$7+1,G175+$U$9*SQRT(Calcul!F175-'Inputs and result'!$B$4)*$U$8*$U$6,0))))</f>
        <v>0</v>
      </c>
    </row>
    <row r="176" spans="6:9" x14ac:dyDescent="0.45">
      <c r="F176">
        <v>153</v>
      </c>
      <c r="G176" s="10">
        <f>IF(F176&gt;'Inputs and result'!$B$4,0,SUM($B$20:$B$21)*SQRT(F176))</f>
        <v>0</v>
      </c>
      <c r="H176">
        <f t="shared" si="3"/>
        <v>0</v>
      </c>
      <c r="I176" s="10">
        <f>IF((IF(F176&lt;='Inputs and result'!$B$4,0,IF((F176-'Inputs and result'!$B$4)&lt;'Inputs and result'!$E$7+1,G176+$U$9*SQRT(Calcul!F176-'Inputs and result'!$B$4)*$U$8*$U$6,0)))&gt;$U$19,$U$19,(IF(F176&lt;='Inputs and result'!$B$4,0,IF((F176-'Inputs and result'!$B$4)&lt;'Inputs and result'!$E$7+1,G176+$U$9*SQRT(Calcul!F176-'Inputs and result'!$B$4)*$U$8*$U$6,0))))</f>
        <v>0</v>
      </c>
    </row>
    <row r="177" spans="6:9" x14ac:dyDescent="0.45">
      <c r="F177">
        <v>154</v>
      </c>
      <c r="G177" s="10">
        <f>IF(F177&gt;'Inputs and result'!$B$4,0,SUM($B$20:$B$21)*SQRT(F177))</f>
        <v>0</v>
      </c>
      <c r="H177">
        <f t="shared" si="3"/>
        <v>0</v>
      </c>
      <c r="I177" s="10">
        <f>IF((IF(F177&lt;='Inputs and result'!$B$4,0,IF((F177-'Inputs and result'!$B$4)&lt;'Inputs and result'!$E$7+1,G177+$U$9*SQRT(Calcul!F177-'Inputs and result'!$B$4)*$U$8*$U$6,0)))&gt;$U$19,$U$19,(IF(F177&lt;='Inputs and result'!$B$4,0,IF((F177-'Inputs and result'!$B$4)&lt;'Inputs and result'!$E$7+1,G177+$U$9*SQRT(Calcul!F177-'Inputs and result'!$B$4)*$U$8*$U$6,0))))</f>
        <v>0</v>
      </c>
    </row>
    <row r="178" spans="6:9" x14ac:dyDescent="0.45">
      <c r="F178">
        <v>155</v>
      </c>
      <c r="G178" s="10">
        <f>IF(F178&gt;'Inputs and result'!$B$4,0,SUM($B$20:$B$21)*SQRT(F178))</f>
        <v>0</v>
      </c>
      <c r="H178">
        <f t="shared" si="3"/>
        <v>0</v>
      </c>
      <c r="I178" s="10">
        <f>IF((IF(F178&lt;='Inputs and result'!$B$4,0,IF((F178-'Inputs and result'!$B$4)&lt;'Inputs and result'!$E$7+1,G178+$U$9*SQRT(Calcul!F178-'Inputs and result'!$B$4)*$U$8*$U$6,0)))&gt;$U$19,$U$19,(IF(F178&lt;='Inputs and result'!$B$4,0,IF((F178-'Inputs and result'!$B$4)&lt;'Inputs and result'!$E$7+1,G178+$U$9*SQRT(Calcul!F178-'Inputs and result'!$B$4)*$U$8*$U$6,0))))</f>
        <v>0</v>
      </c>
    </row>
    <row r="179" spans="6:9" x14ac:dyDescent="0.45">
      <c r="F179">
        <v>156</v>
      </c>
      <c r="G179" s="10">
        <f>IF(F179&gt;'Inputs and result'!$B$4,0,SUM($B$20:$B$21)*SQRT(F179))</f>
        <v>0</v>
      </c>
      <c r="H179">
        <f t="shared" si="3"/>
        <v>0</v>
      </c>
      <c r="I179" s="10">
        <f>IF((IF(F179&lt;='Inputs and result'!$B$4,0,IF((F179-'Inputs and result'!$B$4)&lt;'Inputs and result'!$E$7+1,G179+$U$9*SQRT(Calcul!F179-'Inputs and result'!$B$4)*$U$8*$U$6,0)))&gt;$U$19,$U$19,(IF(F179&lt;='Inputs and result'!$B$4,0,IF((F179-'Inputs and result'!$B$4)&lt;'Inputs and result'!$E$7+1,G179+$U$9*SQRT(Calcul!F179-'Inputs and result'!$B$4)*$U$8*$U$6,0))))</f>
        <v>0</v>
      </c>
    </row>
    <row r="180" spans="6:9" x14ac:dyDescent="0.45">
      <c r="F180">
        <v>157</v>
      </c>
      <c r="G180" s="10">
        <f>IF(F180&gt;'Inputs and result'!$B$4,0,SUM($B$20:$B$21)*SQRT(F180))</f>
        <v>0</v>
      </c>
      <c r="H180">
        <f t="shared" si="3"/>
        <v>0</v>
      </c>
      <c r="I180" s="10">
        <f>IF((IF(F180&lt;='Inputs and result'!$B$4,0,IF((F180-'Inputs and result'!$B$4)&lt;'Inputs and result'!$E$7+1,G180+$U$9*SQRT(Calcul!F180-'Inputs and result'!$B$4)*$U$8*$U$6,0)))&gt;$U$19,$U$19,(IF(F180&lt;='Inputs and result'!$B$4,0,IF((F180-'Inputs and result'!$B$4)&lt;'Inputs and result'!$E$7+1,G180+$U$9*SQRT(Calcul!F180-'Inputs and result'!$B$4)*$U$8*$U$6,0))))</f>
        <v>0</v>
      </c>
    </row>
    <row r="181" spans="6:9" x14ac:dyDescent="0.45">
      <c r="F181">
        <v>158</v>
      </c>
      <c r="G181" s="10">
        <f>IF(F181&gt;'Inputs and result'!$B$4,0,SUM($B$20:$B$21)*SQRT(F181))</f>
        <v>0</v>
      </c>
      <c r="H181">
        <f t="shared" si="3"/>
        <v>0</v>
      </c>
      <c r="I181" s="10">
        <f>IF((IF(F181&lt;='Inputs and result'!$B$4,0,IF((F181-'Inputs and result'!$B$4)&lt;'Inputs and result'!$E$7+1,G181+$U$9*SQRT(Calcul!F181-'Inputs and result'!$B$4)*$U$8*$U$6,0)))&gt;$U$19,$U$19,(IF(F181&lt;='Inputs and result'!$B$4,0,IF((F181-'Inputs and result'!$B$4)&lt;'Inputs and result'!$E$7+1,G181+$U$9*SQRT(Calcul!F181-'Inputs and result'!$B$4)*$U$8*$U$6,0))))</f>
        <v>0</v>
      </c>
    </row>
    <row r="182" spans="6:9" x14ac:dyDescent="0.45">
      <c r="F182">
        <v>159</v>
      </c>
      <c r="G182" s="10">
        <f>IF(F182&gt;'Inputs and result'!$B$4,0,SUM($B$20:$B$21)*SQRT(F182))</f>
        <v>0</v>
      </c>
      <c r="H182">
        <f t="shared" si="3"/>
        <v>0</v>
      </c>
      <c r="I182" s="10">
        <f>IF((IF(F182&lt;='Inputs and result'!$B$4,0,IF((F182-'Inputs and result'!$B$4)&lt;'Inputs and result'!$E$7+1,G182+$U$9*SQRT(Calcul!F182-'Inputs and result'!$B$4)*$U$8*$U$6,0)))&gt;$U$19,$U$19,(IF(F182&lt;='Inputs and result'!$B$4,0,IF((F182-'Inputs and result'!$B$4)&lt;'Inputs and result'!$E$7+1,G182+$U$9*SQRT(Calcul!F182-'Inputs and result'!$B$4)*$U$8*$U$6,0))))</f>
        <v>0</v>
      </c>
    </row>
    <row r="183" spans="6:9" x14ac:dyDescent="0.45">
      <c r="F183">
        <v>160</v>
      </c>
      <c r="G183" s="10">
        <f>IF(F183&gt;'Inputs and result'!$B$4,0,SUM($B$20:$B$21)*SQRT(F183))</f>
        <v>0</v>
      </c>
      <c r="H183">
        <f t="shared" si="3"/>
        <v>0</v>
      </c>
      <c r="I183" s="10">
        <f>IF((IF(F183&lt;='Inputs and result'!$B$4,0,IF((F183-'Inputs and result'!$B$4)&lt;'Inputs and result'!$E$7+1,G183+$U$9*SQRT(Calcul!F183-'Inputs and result'!$B$4)*$U$8*$U$6,0)))&gt;$U$19,$U$19,(IF(F183&lt;='Inputs and result'!$B$4,0,IF((F183-'Inputs and result'!$B$4)&lt;'Inputs and result'!$E$7+1,G183+$U$9*SQRT(Calcul!F183-'Inputs and result'!$B$4)*$U$8*$U$6,0))))</f>
        <v>0</v>
      </c>
    </row>
    <row r="184" spans="6:9" x14ac:dyDescent="0.45">
      <c r="F184">
        <v>161</v>
      </c>
      <c r="G184" s="10">
        <f>IF(F184&gt;'Inputs and result'!$B$4,0,SUM($B$20:$B$21)*SQRT(F184))</f>
        <v>0</v>
      </c>
      <c r="H184">
        <f t="shared" si="3"/>
        <v>0</v>
      </c>
      <c r="I184" s="10">
        <f>IF((IF(F184&lt;='Inputs and result'!$B$4,0,IF((F184-'Inputs and result'!$B$4)&lt;'Inputs and result'!$E$7+1,G184+$U$9*SQRT(Calcul!F184-'Inputs and result'!$B$4)*$U$8*$U$6,0)))&gt;$U$19,$U$19,(IF(F184&lt;='Inputs and result'!$B$4,0,IF((F184-'Inputs and result'!$B$4)&lt;'Inputs and result'!$E$7+1,G184+$U$9*SQRT(Calcul!F184-'Inputs and result'!$B$4)*$U$8*$U$6,0))))</f>
        <v>0</v>
      </c>
    </row>
    <row r="185" spans="6:9" x14ac:dyDescent="0.45">
      <c r="F185">
        <v>162</v>
      </c>
      <c r="G185" s="10">
        <f>IF(F185&gt;'Inputs and result'!$B$4,0,SUM($B$20:$B$21)*SQRT(F185))</f>
        <v>0</v>
      </c>
      <c r="H185">
        <f t="shared" si="3"/>
        <v>0</v>
      </c>
      <c r="I185" s="10">
        <f>IF((IF(F185&lt;='Inputs and result'!$B$4,0,IF((F185-'Inputs and result'!$B$4)&lt;'Inputs and result'!$E$7+1,G185+$U$9*SQRT(Calcul!F185-'Inputs and result'!$B$4)*$U$8*$U$6,0)))&gt;$U$19,$U$19,(IF(F185&lt;='Inputs and result'!$B$4,0,IF((F185-'Inputs and result'!$B$4)&lt;'Inputs and result'!$E$7+1,G185+$U$9*SQRT(Calcul!F185-'Inputs and result'!$B$4)*$U$8*$U$6,0))))</f>
        <v>0</v>
      </c>
    </row>
    <row r="186" spans="6:9" x14ac:dyDescent="0.45">
      <c r="F186">
        <v>163</v>
      </c>
      <c r="G186" s="10">
        <f>IF(F186&gt;'Inputs and result'!$B$4,0,SUM($B$20:$B$21)*SQRT(F186))</f>
        <v>0</v>
      </c>
      <c r="H186">
        <f t="shared" si="3"/>
        <v>0</v>
      </c>
      <c r="I186" s="10">
        <f>IF((IF(F186&lt;='Inputs and result'!$B$4,0,IF((F186-'Inputs and result'!$B$4)&lt;'Inputs and result'!$E$7+1,G186+$U$9*SQRT(Calcul!F186-'Inputs and result'!$B$4)*$U$8*$U$6,0)))&gt;$U$19,$U$19,(IF(F186&lt;='Inputs and result'!$B$4,0,IF((F186-'Inputs and result'!$B$4)&lt;'Inputs and result'!$E$7+1,G186+$U$9*SQRT(Calcul!F186-'Inputs and result'!$B$4)*$U$8*$U$6,0))))</f>
        <v>0</v>
      </c>
    </row>
    <row r="187" spans="6:9" x14ac:dyDescent="0.45">
      <c r="F187">
        <v>164</v>
      </c>
      <c r="G187" s="10">
        <f>IF(F187&gt;'Inputs and result'!$B$4,0,SUM($B$20:$B$21)*SQRT(F187))</f>
        <v>0</v>
      </c>
      <c r="H187">
        <f t="shared" si="3"/>
        <v>0</v>
      </c>
      <c r="I187" s="10">
        <f>IF((IF(F187&lt;='Inputs and result'!$B$4,0,IF((F187-'Inputs and result'!$B$4)&lt;'Inputs and result'!$E$7+1,G187+$U$9*SQRT(Calcul!F187-'Inputs and result'!$B$4)*$U$8*$U$6,0)))&gt;$U$19,$U$19,(IF(F187&lt;='Inputs and result'!$B$4,0,IF((F187-'Inputs and result'!$B$4)&lt;'Inputs and result'!$E$7+1,G187+$U$9*SQRT(Calcul!F187-'Inputs and result'!$B$4)*$U$8*$U$6,0))))</f>
        <v>0</v>
      </c>
    </row>
    <row r="188" spans="6:9" x14ac:dyDescent="0.45">
      <c r="F188">
        <v>165</v>
      </c>
      <c r="G188" s="10">
        <f>IF(F188&gt;'Inputs and result'!$B$4,0,SUM($B$20:$B$21)*SQRT(F188))</f>
        <v>0</v>
      </c>
      <c r="H188">
        <f t="shared" si="3"/>
        <v>0</v>
      </c>
      <c r="I188" s="10">
        <f>IF((IF(F188&lt;='Inputs and result'!$B$4,0,IF((F188-'Inputs and result'!$B$4)&lt;'Inputs and result'!$E$7+1,G188+$U$9*SQRT(Calcul!F188-'Inputs and result'!$B$4)*$U$8*$U$6,0)))&gt;$U$19,$U$19,(IF(F188&lt;='Inputs and result'!$B$4,0,IF((F188-'Inputs and result'!$B$4)&lt;'Inputs and result'!$E$7+1,G188+$U$9*SQRT(Calcul!F188-'Inputs and result'!$B$4)*$U$8*$U$6,0))))</f>
        <v>0</v>
      </c>
    </row>
    <row r="189" spans="6:9" x14ac:dyDescent="0.45">
      <c r="F189">
        <v>166</v>
      </c>
      <c r="G189" s="10">
        <f>IF(F189&gt;'Inputs and result'!$B$4,0,SUM($B$20:$B$21)*SQRT(F189))</f>
        <v>0</v>
      </c>
      <c r="H189">
        <f t="shared" si="3"/>
        <v>0</v>
      </c>
      <c r="I189" s="10">
        <f>IF((IF(F189&lt;='Inputs and result'!$B$4,0,IF((F189-'Inputs and result'!$B$4)&lt;'Inputs and result'!$E$7+1,G189+$U$9*SQRT(Calcul!F189-'Inputs and result'!$B$4)*$U$8*$U$6,0)))&gt;$U$19,$U$19,(IF(F189&lt;='Inputs and result'!$B$4,0,IF((F189-'Inputs and result'!$B$4)&lt;'Inputs and result'!$E$7+1,G189+$U$9*SQRT(Calcul!F189-'Inputs and result'!$B$4)*$U$8*$U$6,0))))</f>
        <v>0</v>
      </c>
    </row>
    <row r="190" spans="6:9" x14ac:dyDescent="0.45">
      <c r="F190">
        <v>167</v>
      </c>
      <c r="G190" s="10">
        <f>IF(F190&gt;'Inputs and result'!$B$4,0,SUM($B$20:$B$21)*SQRT(F190))</f>
        <v>0</v>
      </c>
      <c r="H190">
        <f t="shared" si="3"/>
        <v>0</v>
      </c>
      <c r="I190" s="10">
        <f>IF((IF(F190&lt;='Inputs and result'!$B$4,0,IF((F190-'Inputs and result'!$B$4)&lt;'Inputs and result'!$E$7+1,G190+$U$9*SQRT(Calcul!F190-'Inputs and result'!$B$4)*$U$8*$U$6,0)))&gt;$U$19,$U$19,(IF(F190&lt;='Inputs and result'!$B$4,0,IF((F190-'Inputs and result'!$B$4)&lt;'Inputs and result'!$E$7+1,G190+$U$9*SQRT(Calcul!F190-'Inputs and result'!$B$4)*$U$8*$U$6,0))))</f>
        <v>0</v>
      </c>
    </row>
    <row r="191" spans="6:9" x14ac:dyDescent="0.45">
      <c r="F191">
        <v>168</v>
      </c>
      <c r="G191" s="10">
        <f>IF(F191&gt;'Inputs and result'!$B$4,0,SUM($B$20:$B$21)*SQRT(F191))</f>
        <v>0</v>
      </c>
      <c r="H191">
        <f t="shared" si="3"/>
        <v>0</v>
      </c>
      <c r="I191" s="10">
        <f>IF((IF(F191&lt;='Inputs and result'!$B$4,0,IF((F191-'Inputs and result'!$B$4)&lt;'Inputs and result'!$E$7+1,G191+$U$9*SQRT(Calcul!F191-'Inputs and result'!$B$4)*$U$8*$U$6,0)))&gt;$U$19,$U$19,(IF(F191&lt;='Inputs and result'!$B$4,0,IF((F191-'Inputs and result'!$B$4)&lt;'Inputs and result'!$E$7+1,G191+$U$9*SQRT(Calcul!F191-'Inputs and result'!$B$4)*$U$8*$U$6,0))))</f>
        <v>0</v>
      </c>
    </row>
    <row r="192" spans="6:9" x14ac:dyDescent="0.45">
      <c r="F192">
        <v>169</v>
      </c>
      <c r="G192" s="10">
        <f>IF(F192&gt;'Inputs and result'!$B$4,0,SUM($B$20:$B$21)*SQRT(F192))</f>
        <v>0</v>
      </c>
      <c r="H192">
        <f t="shared" si="3"/>
        <v>0</v>
      </c>
      <c r="I192" s="10">
        <f>IF((IF(F192&lt;='Inputs and result'!$B$4,0,IF((F192-'Inputs and result'!$B$4)&lt;'Inputs and result'!$E$7+1,G192+$U$9*SQRT(Calcul!F192-'Inputs and result'!$B$4)*$U$8*$U$6,0)))&gt;$U$19,$U$19,(IF(F192&lt;='Inputs and result'!$B$4,0,IF((F192-'Inputs and result'!$B$4)&lt;'Inputs and result'!$E$7+1,G192+$U$9*SQRT(Calcul!F192-'Inputs and result'!$B$4)*$U$8*$U$6,0))))</f>
        <v>0</v>
      </c>
    </row>
    <row r="193" spans="6:9" x14ac:dyDescent="0.45">
      <c r="F193">
        <v>170</v>
      </c>
      <c r="G193" s="10">
        <f>IF(F193&gt;'Inputs and result'!$B$4,0,SUM($B$20:$B$21)*SQRT(F193))</f>
        <v>0</v>
      </c>
      <c r="H193">
        <f t="shared" si="3"/>
        <v>0</v>
      </c>
      <c r="I193" s="10">
        <f>IF((IF(F193&lt;='Inputs and result'!$B$4,0,IF((F193-'Inputs and result'!$B$4)&lt;'Inputs and result'!$E$7+1,G193+$U$9*SQRT(Calcul!F193-'Inputs and result'!$B$4)*$U$8*$U$6,0)))&gt;$U$19,$U$19,(IF(F193&lt;='Inputs and result'!$B$4,0,IF((F193-'Inputs and result'!$B$4)&lt;'Inputs and result'!$E$7+1,G193+$U$9*SQRT(Calcul!F193-'Inputs and result'!$B$4)*$U$8*$U$6,0))))</f>
        <v>0</v>
      </c>
    </row>
    <row r="194" spans="6:9" x14ac:dyDescent="0.45">
      <c r="F194">
        <v>171</v>
      </c>
      <c r="G194" s="10">
        <f>IF(F194&gt;'Inputs and result'!$B$4,0,SUM($B$20:$B$21)*SQRT(F194))</f>
        <v>0</v>
      </c>
      <c r="H194">
        <f t="shared" si="3"/>
        <v>0</v>
      </c>
      <c r="I194" s="10">
        <f>IF((IF(F194&lt;='Inputs and result'!$B$4,0,IF((F194-'Inputs and result'!$B$4)&lt;'Inputs and result'!$E$7+1,G194+$U$9*SQRT(Calcul!F194-'Inputs and result'!$B$4)*$U$8*$U$6,0)))&gt;$U$19,$U$19,(IF(F194&lt;='Inputs and result'!$B$4,0,IF((F194-'Inputs and result'!$B$4)&lt;'Inputs and result'!$E$7+1,G194+$U$9*SQRT(Calcul!F194-'Inputs and result'!$B$4)*$U$8*$U$6,0))))</f>
        <v>0</v>
      </c>
    </row>
    <row r="195" spans="6:9" x14ac:dyDescent="0.45">
      <c r="F195">
        <v>172</v>
      </c>
      <c r="G195" s="10">
        <f>IF(F195&gt;'Inputs and result'!$B$4,0,SUM($B$20:$B$21)*SQRT(F195))</f>
        <v>0</v>
      </c>
      <c r="H195">
        <f t="shared" si="3"/>
        <v>0</v>
      </c>
      <c r="I195" s="10">
        <f>IF((IF(F195&lt;='Inputs and result'!$B$4,0,IF((F195-'Inputs and result'!$B$4)&lt;'Inputs and result'!$E$7+1,G195+$U$9*SQRT(Calcul!F195-'Inputs and result'!$B$4)*$U$8*$U$6,0)))&gt;$U$19,$U$19,(IF(F195&lt;='Inputs and result'!$B$4,0,IF((F195-'Inputs and result'!$B$4)&lt;'Inputs and result'!$E$7+1,G195+$U$9*SQRT(Calcul!F195-'Inputs and result'!$B$4)*$U$8*$U$6,0))))</f>
        <v>0</v>
      </c>
    </row>
    <row r="196" spans="6:9" x14ac:dyDescent="0.45">
      <c r="F196">
        <v>173</v>
      </c>
      <c r="G196" s="10">
        <f>IF(F196&gt;'Inputs and result'!$B$4,0,SUM($B$20:$B$21)*SQRT(F196))</f>
        <v>0</v>
      </c>
      <c r="H196">
        <f t="shared" si="3"/>
        <v>0</v>
      </c>
      <c r="I196" s="10">
        <f>IF((IF(F196&lt;='Inputs and result'!$B$4,0,IF((F196-'Inputs and result'!$B$4)&lt;'Inputs and result'!$E$7+1,G196+$U$9*SQRT(Calcul!F196-'Inputs and result'!$B$4)*$U$8*$U$6,0)))&gt;$U$19,$U$19,(IF(F196&lt;='Inputs and result'!$B$4,0,IF((F196-'Inputs and result'!$B$4)&lt;'Inputs and result'!$E$7+1,G196+$U$9*SQRT(Calcul!F196-'Inputs and result'!$B$4)*$U$8*$U$6,0))))</f>
        <v>0</v>
      </c>
    </row>
    <row r="197" spans="6:9" x14ac:dyDescent="0.45">
      <c r="F197">
        <v>174</v>
      </c>
      <c r="G197" s="10">
        <f>IF(F197&gt;'Inputs and result'!$B$4,0,SUM($B$20:$B$21)*SQRT(F197))</f>
        <v>0</v>
      </c>
      <c r="H197">
        <f t="shared" si="3"/>
        <v>0</v>
      </c>
      <c r="I197" s="10">
        <f>IF((IF(F197&lt;='Inputs and result'!$B$4,0,IF((F197-'Inputs and result'!$B$4)&lt;'Inputs and result'!$E$7+1,G197+$U$9*SQRT(Calcul!F197-'Inputs and result'!$B$4)*$U$8*$U$6,0)))&gt;$U$19,$U$19,(IF(F197&lt;='Inputs and result'!$B$4,0,IF((F197-'Inputs and result'!$B$4)&lt;'Inputs and result'!$E$7+1,G197+$U$9*SQRT(Calcul!F197-'Inputs and result'!$B$4)*$U$8*$U$6,0))))</f>
        <v>0</v>
      </c>
    </row>
    <row r="198" spans="6:9" x14ac:dyDescent="0.45">
      <c r="F198">
        <v>175</v>
      </c>
      <c r="G198" s="10">
        <f>IF(F198&gt;'Inputs and result'!$B$4,0,SUM($B$20:$B$21)*SQRT(F198))</f>
        <v>0</v>
      </c>
      <c r="H198">
        <f t="shared" si="3"/>
        <v>0</v>
      </c>
      <c r="I198" s="10">
        <f>IF((IF(F198&lt;='Inputs and result'!$B$4,0,IF((F198-'Inputs and result'!$B$4)&lt;'Inputs and result'!$E$7+1,G198+$U$9*SQRT(Calcul!F198-'Inputs and result'!$B$4)*$U$8*$U$6,0)))&gt;$U$19,$U$19,(IF(F198&lt;='Inputs and result'!$B$4,0,IF((F198-'Inputs and result'!$B$4)&lt;'Inputs and result'!$E$7+1,G198+$U$9*SQRT(Calcul!F198-'Inputs and result'!$B$4)*$U$8*$U$6,0))))</f>
        <v>0</v>
      </c>
    </row>
    <row r="199" spans="6:9" x14ac:dyDescent="0.45">
      <c r="F199">
        <v>176</v>
      </c>
      <c r="G199" s="10">
        <f>IF(F199&gt;'Inputs and result'!$B$4,0,SUM($B$20:$B$21)*SQRT(F199))</f>
        <v>0</v>
      </c>
      <c r="H199">
        <f t="shared" si="3"/>
        <v>0</v>
      </c>
      <c r="I199" s="10">
        <f>IF((IF(F199&lt;='Inputs and result'!$B$4,0,IF((F199-'Inputs and result'!$B$4)&lt;'Inputs and result'!$E$7+1,G199+$U$9*SQRT(Calcul!F199-'Inputs and result'!$B$4)*$U$8*$U$6,0)))&gt;$U$19,$U$19,(IF(F199&lt;='Inputs and result'!$B$4,0,IF((F199-'Inputs and result'!$B$4)&lt;'Inputs and result'!$E$7+1,G199+$U$9*SQRT(Calcul!F199-'Inputs and result'!$B$4)*$U$8*$U$6,0))))</f>
        <v>0</v>
      </c>
    </row>
    <row r="200" spans="6:9" x14ac:dyDescent="0.45">
      <c r="F200">
        <v>177</v>
      </c>
      <c r="G200" s="10">
        <f>IF(F200&gt;'Inputs and result'!$B$4,0,SUM($B$20:$B$21)*SQRT(F200))</f>
        <v>0</v>
      </c>
      <c r="H200">
        <f t="shared" si="3"/>
        <v>0</v>
      </c>
      <c r="I200" s="10">
        <f>IF((IF(F200&lt;='Inputs and result'!$B$4,0,IF((F200-'Inputs and result'!$B$4)&lt;'Inputs and result'!$E$7+1,G200+$U$9*SQRT(Calcul!F200-'Inputs and result'!$B$4)*$U$8*$U$6,0)))&gt;$U$19,$U$19,(IF(F200&lt;='Inputs and result'!$B$4,0,IF((F200-'Inputs and result'!$B$4)&lt;'Inputs and result'!$E$7+1,G200+$U$9*SQRT(Calcul!F200-'Inputs and result'!$B$4)*$U$8*$U$6,0))))</f>
        <v>0</v>
      </c>
    </row>
    <row r="201" spans="6:9" x14ac:dyDescent="0.45">
      <c r="F201">
        <v>178</v>
      </c>
      <c r="G201" s="10">
        <f>IF(F201&gt;'Inputs and result'!$B$4,0,SUM($B$20:$B$21)*SQRT(F201))</f>
        <v>0</v>
      </c>
      <c r="H201">
        <f t="shared" si="3"/>
        <v>0</v>
      </c>
      <c r="I201" s="10">
        <f>IF((IF(F201&lt;='Inputs and result'!$B$4,0,IF((F201-'Inputs and result'!$B$4)&lt;'Inputs and result'!$E$7+1,G201+$U$9*SQRT(Calcul!F201-'Inputs and result'!$B$4)*$U$8*$U$6,0)))&gt;$U$19,$U$19,(IF(F201&lt;='Inputs and result'!$B$4,0,IF((F201-'Inputs and result'!$B$4)&lt;'Inputs and result'!$E$7+1,G201+$U$9*SQRT(Calcul!F201-'Inputs and result'!$B$4)*$U$8*$U$6,0))))</f>
        <v>0</v>
      </c>
    </row>
    <row r="202" spans="6:9" x14ac:dyDescent="0.45">
      <c r="F202">
        <v>179</v>
      </c>
      <c r="G202" s="10">
        <f>IF(F202&gt;'Inputs and result'!$B$4,0,SUM($B$20:$B$21)*SQRT(F202))</f>
        <v>0</v>
      </c>
      <c r="H202">
        <f t="shared" si="3"/>
        <v>0</v>
      </c>
      <c r="I202" s="10">
        <f>IF((IF(F202&lt;='Inputs and result'!$B$4,0,IF((F202-'Inputs and result'!$B$4)&lt;'Inputs and result'!$E$7+1,G202+$U$9*SQRT(Calcul!F202-'Inputs and result'!$B$4)*$U$8*$U$6,0)))&gt;$U$19,$U$19,(IF(F202&lt;='Inputs and result'!$B$4,0,IF((F202-'Inputs and result'!$B$4)&lt;'Inputs and result'!$E$7+1,G202+$U$9*SQRT(Calcul!F202-'Inputs and result'!$B$4)*$U$8*$U$6,0))))</f>
        <v>0</v>
      </c>
    </row>
    <row r="203" spans="6:9" x14ac:dyDescent="0.45">
      <c r="F203">
        <v>180</v>
      </c>
      <c r="G203" s="10">
        <f>IF(F203&gt;'Inputs and result'!$B$4,0,SUM($B$20:$B$21)*SQRT(F203))</f>
        <v>0</v>
      </c>
      <c r="H203">
        <f t="shared" si="3"/>
        <v>0</v>
      </c>
      <c r="I203" s="10">
        <f>IF((IF(F203&lt;='Inputs and result'!$B$4,0,IF((F203-'Inputs and result'!$B$4)&lt;'Inputs and result'!$E$7+1,G203+$U$9*SQRT(Calcul!F203-'Inputs and result'!$B$4)*$U$8*$U$6,0)))&gt;$U$19,$U$19,(IF(F203&lt;='Inputs and result'!$B$4,0,IF((F203-'Inputs and result'!$B$4)&lt;'Inputs and result'!$E$7+1,G203+$U$9*SQRT(Calcul!F203-'Inputs and result'!$B$4)*$U$8*$U$6,0))))</f>
        <v>0</v>
      </c>
    </row>
    <row r="204" spans="6:9" x14ac:dyDescent="0.45">
      <c r="F204">
        <v>181</v>
      </c>
      <c r="G204" s="10">
        <f>IF(F204&gt;'Inputs and result'!$B$4,0,SUM($B$20:$B$21)*SQRT(F204))</f>
        <v>0</v>
      </c>
      <c r="H204">
        <f t="shared" si="3"/>
        <v>0</v>
      </c>
      <c r="I204" s="10">
        <f>IF((IF(F204&lt;='Inputs and result'!$B$4,0,IF((F204-'Inputs and result'!$B$4)&lt;'Inputs and result'!$E$7+1,G204+$U$9*SQRT(Calcul!F204-'Inputs and result'!$B$4)*$U$8*$U$6,0)))&gt;$U$19,$U$19,(IF(F204&lt;='Inputs and result'!$B$4,0,IF((F204-'Inputs and result'!$B$4)&lt;'Inputs and result'!$E$7+1,G204+$U$9*SQRT(Calcul!F204-'Inputs and result'!$B$4)*$U$8*$U$6,0))))</f>
        <v>0</v>
      </c>
    </row>
    <row r="205" spans="6:9" x14ac:dyDescent="0.45">
      <c r="F205">
        <v>182</v>
      </c>
      <c r="G205" s="10">
        <f>IF(F205&gt;'Inputs and result'!$B$4,0,SUM($B$20:$B$21)*SQRT(F205))</f>
        <v>0</v>
      </c>
      <c r="H205">
        <f t="shared" si="3"/>
        <v>0</v>
      </c>
      <c r="I205" s="10">
        <f>IF((IF(F205&lt;='Inputs and result'!$B$4,0,IF((F205-'Inputs and result'!$B$4)&lt;'Inputs and result'!$E$7+1,G205+$U$9*SQRT(Calcul!F205-'Inputs and result'!$B$4)*$U$8*$U$6,0)))&gt;$U$19,$U$19,(IF(F205&lt;='Inputs and result'!$B$4,0,IF((F205-'Inputs and result'!$B$4)&lt;'Inputs and result'!$E$7+1,G205+$U$9*SQRT(Calcul!F205-'Inputs and result'!$B$4)*$U$8*$U$6,0))))</f>
        <v>0</v>
      </c>
    </row>
    <row r="206" spans="6:9" x14ac:dyDescent="0.45">
      <c r="F206">
        <v>183</v>
      </c>
      <c r="G206" s="10">
        <f>IF(F206&gt;'Inputs and result'!$B$4,0,SUM($B$20:$B$21)*SQRT(F206))</f>
        <v>0</v>
      </c>
      <c r="H206">
        <f t="shared" si="3"/>
        <v>0</v>
      </c>
      <c r="I206" s="10">
        <f>IF((IF(F206&lt;='Inputs and result'!$B$4,0,IF((F206-'Inputs and result'!$B$4)&lt;'Inputs and result'!$E$7+1,G206+$U$9*SQRT(Calcul!F206-'Inputs and result'!$B$4)*$U$8*$U$6,0)))&gt;$U$19,$U$19,(IF(F206&lt;='Inputs and result'!$B$4,0,IF((F206-'Inputs and result'!$B$4)&lt;'Inputs and result'!$E$7+1,G206+$U$9*SQRT(Calcul!F206-'Inputs and result'!$B$4)*$U$8*$U$6,0))))</f>
        <v>0</v>
      </c>
    </row>
    <row r="207" spans="6:9" x14ac:dyDescent="0.45">
      <c r="F207">
        <v>184</v>
      </c>
      <c r="G207" s="10">
        <f>IF(F207&gt;'Inputs and result'!$B$4,0,SUM($B$20:$B$21)*SQRT(F207))</f>
        <v>0</v>
      </c>
      <c r="H207">
        <f t="shared" si="3"/>
        <v>0</v>
      </c>
      <c r="I207" s="10">
        <f>IF((IF(F207&lt;='Inputs and result'!$B$4,0,IF((F207-'Inputs and result'!$B$4)&lt;'Inputs and result'!$E$7+1,G207+$U$9*SQRT(Calcul!F207-'Inputs and result'!$B$4)*$U$8*$U$6,0)))&gt;$U$19,$U$19,(IF(F207&lt;='Inputs and result'!$B$4,0,IF((F207-'Inputs and result'!$B$4)&lt;'Inputs and result'!$E$7+1,G207+$U$9*SQRT(Calcul!F207-'Inputs and result'!$B$4)*$U$8*$U$6,0))))</f>
        <v>0</v>
      </c>
    </row>
    <row r="208" spans="6:9" x14ac:dyDescent="0.45">
      <c r="F208">
        <v>185</v>
      </c>
      <c r="G208" s="10">
        <f>IF(F208&gt;'Inputs and result'!$B$4,0,SUM($B$20:$B$21)*SQRT(F208))</f>
        <v>0</v>
      </c>
      <c r="H208">
        <f t="shared" si="3"/>
        <v>0</v>
      </c>
      <c r="I208" s="10">
        <f>IF((IF(F208&lt;='Inputs and result'!$B$4,0,IF((F208-'Inputs and result'!$B$4)&lt;'Inputs and result'!$E$7+1,G208+$U$9*SQRT(Calcul!F208-'Inputs and result'!$B$4)*$U$8*$U$6,0)))&gt;$U$19,$U$19,(IF(F208&lt;='Inputs and result'!$B$4,0,IF((F208-'Inputs and result'!$B$4)&lt;'Inputs and result'!$E$7+1,G208+$U$9*SQRT(Calcul!F208-'Inputs and result'!$B$4)*$U$8*$U$6,0))))</f>
        <v>0</v>
      </c>
    </row>
    <row r="209" spans="6:9" x14ac:dyDescent="0.45">
      <c r="F209">
        <v>186</v>
      </c>
      <c r="G209" s="10">
        <f>IF(F209&gt;'Inputs and result'!$B$4,0,SUM($B$20:$B$21)*SQRT(F209))</f>
        <v>0</v>
      </c>
      <c r="H209">
        <f t="shared" si="3"/>
        <v>0</v>
      </c>
      <c r="I209" s="10">
        <f>IF((IF(F209&lt;='Inputs and result'!$B$4,0,IF((F209-'Inputs and result'!$B$4)&lt;'Inputs and result'!$E$7+1,G209+$U$9*SQRT(Calcul!F209-'Inputs and result'!$B$4)*$U$8*$U$6,0)))&gt;$U$19,$U$19,(IF(F209&lt;='Inputs and result'!$B$4,0,IF((F209-'Inputs and result'!$B$4)&lt;'Inputs and result'!$E$7+1,G209+$U$9*SQRT(Calcul!F209-'Inputs and result'!$B$4)*$U$8*$U$6,0))))</f>
        <v>0</v>
      </c>
    </row>
    <row r="210" spans="6:9" x14ac:dyDescent="0.45">
      <c r="F210">
        <v>187</v>
      </c>
      <c r="G210" s="10">
        <f>IF(F210&gt;'Inputs and result'!$B$4,0,SUM($B$20:$B$21)*SQRT(F210))</f>
        <v>0</v>
      </c>
      <c r="H210">
        <f t="shared" si="3"/>
        <v>0</v>
      </c>
      <c r="I210" s="10">
        <f>IF((IF(F210&lt;='Inputs and result'!$B$4,0,IF((F210-'Inputs and result'!$B$4)&lt;'Inputs and result'!$E$7+1,G210+$U$9*SQRT(Calcul!F210-'Inputs and result'!$B$4)*$U$8*$U$6,0)))&gt;$U$19,$U$19,(IF(F210&lt;='Inputs and result'!$B$4,0,IF((F210-'Inputs and result'!$B$4)&lt;'Inputs and result'!$E$7+1,G210+$U$9*SQRT(Calcul!F210-'Inputs and result'!$B$4)*$U$8*$U$6,0))))</f>
        <v>0</v>
      </c>
    </row>
    <row r="211" spans="6:9" x14ac:dyDescent="0.45">
      <c r="F211">
        <v>188</v>
      </c>
      <c r="G211" s="10">
        <f>IF(F211&gt;'Inputs and result'!$B$4,0,SUM($B$20:$B$21)*SQRT(F211))</f>
        <v>0</v>
      </c>
      <c r="H211">
        <f t="shared" si="3"/>
        <v>0</v>
      </c>
      <c r="I211" s="10">
        <f>IF((IF(F211&lt;='Inputs and result'!$B$4,0,IF((F211-'Inputs and result'!$B$4)&lt;'Inputs and result'!$E$7+1,G211+$U$9*SQRT(Calcul!F211-'Inputs and result'!$B$4)*$U$8*$U$6,0)))&gt;$U$19,$U$19,(IF(F211&lt;='Inputs and result'!$B$4,0,IF((F211-'Inputs and result'!$B$4)&lt;'Inputs and result'!$E$7+1,G211+$U$9*SQRT(Calcul!F211-'Inputs and result'!$B$4)*$U$8*$U$6,0))))</f>
        <v>0</v>
      </c>
    </row>
    <row r="212" spans="6:9" x14ac:dyDescent="0.45">
      <c r="F212">
        <v>189</v>
      </c>
      <c r="G212" s="10">
        <f>IF(F212&gt;'Inputs and result'!$B$4,0,SUM($B$20:$B$21)*SQRT(F212))</f>
        <v>0</v>
      </c>
      <c r="H212">
        <f t="shared" si="3"/>
        <v>0</v>
      </c>
      <c r="I212" s="10">
        <f>IF((IF(F212&lt;='Inputs and result'!$B$4,0,IF((F212-'Inputs and result'!$B$4)&lt;'Inputs and result'!$E$7+1,G212+$U$9*SQRT(Calcul!F212-'Inputs and result'!$B$4)*$U$8*$U$6,0)))&gt;$U$19,$U$19,(IF(F212&lt;='Inputs and result'!$B$4,0,IF((F212-'Inputs and result'!$B$4)&lt;'Inputs and result'!$E$7+1,G212+$U$9*SQRT(Calcul!F212-'Inputs and result'!$B$4)*$U$8*$U$6,0))))</f>
        <v>0</v>
      </c>
    </row>
    <row r="213" spans="6:9" x14ac:dyDescent="0.45">
      <c r="F213">
        <v>190</v>
      </c>
      <c r="G213" s="10">
        <f>IF(F213&gt;'Inputs and result'!$B$4,0,SUM($B$20:$B$21)*SQRT(F213))</f>
        <v>0</v>
      </c>
      <c r="H213">
        <f t="shared" si="3"/>
        <v>0</v>
      </c>
      <c r="I213" s="10">
        <f>IF((IF(F213&lt;='Inputs and result'!$B$4,0,IF((F213-'Inputs and result'!$B$4)&lt;'Inputs and result'!$E$7+1,G213+$U$9*SQRT(Calcul!F213-'Inputs and result'!$B$4)*$U$8*$U$6,0)))&gt;$U$19,$U$19,(IF(F213&lt;='Inputs and result'!$B$4,0,IF((F213-'Inputs and result'!$B$4)&lt;'Inputs and result'!$E$7+1,G213+$U$9*SQRT(Calcul!F213-'Inputs and result'!$B$4)*$U$8*$U$6,0))))</f>
        <v>0</v>
      </c>
    </row>
    <row r="214" spans="6:9" x14ac:dyDescent="0.45">
      <c r="F214">
        <v>191</v>
      </c>
      <c r="G214" s="10">
        <f>IF(F214&gt;'Inputs and result'!$B$4,0,SUM($B$20:$B$21)*SQRT(F214))</f>
        <v>0</v>
      </c>
      <c r="H214">
        <f t="shared" si="3"/>
        <v>0</v>
      </c>
      <c r="I214" s="10">
        <f>IF((IF(F214&lt;='Inputs and result'!$B$4,0,IF((F214-'Inputs and result'!$B$4)&lt;'Inputs and result'!$E$7+1,G214+$U$9*SQRT(Calcul!F214-'Inputs and result'!$B$4)*$U$8*$U$6,0)))&gt;$U$19,$U$19,(IF(F214&lt;='Inputs and result'!$B$4,0,IF((F214-'Inputs and result'!$B$4)&lt;'Inputs and result'!$E$7+1,G214+$U$9*SQRT(Calcul!F214-'Inputs and result'!$B$4)*$U$8*$U$6,0))))</f>
        <v>0</v>
      </c>
    </row>
    <row r="215" spans="6:9" x14ac:dyDescent="0.45">
      <c r="F215">
        <v>192</v>
      </c>
      <c r="G215" s="10">
        <f>IF(F215&gt;'Inputs and result'!$B$4,0,SUM($B$20:$B$21)*SQRT(F215))</f>
        <v>0</v>
      </c>
      <c r="H215">
        <f t="shared" si="3"/>
        <v>0</v>
      </c>
      <c r="I215" s="10">
        <f>IF((IF(F215&lt;='Inputs and result'!$B$4,0,IF((F215-'Inputs and result'!$B$4)&lt;'Inputs and result'!$E$7+1,G215+$U$9*SQRT(Calcul!F215-'Inputs and result'!$B$4)*$U$8*$U$6,0)))&gt;$U$19,$U$19,(IF(F215&lt;='Inputs and result'!$B$4,0,IF((F215-'Inputs and result'!$B$4)&lt;'Inputs and result'!$E$7+1,G215+$U$9*SQRT(Calcul!F215-'Inputs and result'!$B$4)*$U$8*$U$6,0))))</f>
        <v>0</v>
      </c>
    </row>
    <row r="216" spans="6:9" x14ac:dyDescent="0.45">
      <c r="F216">
        <v>193</v>
      </c>
      <c r="G216" s="10">
        <f>IF(F216&gt;'Inputs and result'!$B$4,0,SUM($B$20:$B$21)*SQRT(F216))</f>
        <v>0</v>
      </c>
      <c r="H216">
        <f t="shared" si="3"/>
        <v>0</v>
      </c>
      <c r="I216" s="10">
        <f>IF((IF(F216&lt;='Inputs and result'!$B$4,0,IF((F216-'Inputs and result'!$B$4)&lt;'Inputs and result'!$E$7+1,G216+$U$9*SQRT(Calcul!F216-'Inputs and result'!$B$4)*$U$8*$U$6,0)))&gt;$U$19,$U$19,(IF(F216&lt;='Inputs and result'!$B$4,0,IF((F216-'Inputs and result'!$B$4)&lt;'Inputs and result'!$E$7+1,G216+$U$9*SQRT(Calcul!F216-'Inputs and result'!$B$4)*$U$8*$U$6,0))))</f>
        <v>0</v>
      </c>
    </row>
    <row r="217" spans="6:9" x14ac:dyDescent="0.45">
      <c r="F217">
        <v>194</v>
      </c>
      <c r="G217" s="10">
        <f>IF(F217&gt;'Inputs and result'!$B$4,0,SUM($B$20:$B$21)*SQRT(F217))</f>
        <v>0</v>
      </c>
      <c r="H217">
        <f t="shared" ref="H217:H223" si="4">IF($U$3&gt;0,I217,0)</f>
        <v>0</v>
      </c>
      <c r="I217" s="10">
        <f>IF((IF(F217&lt;='Inputs and result'!$B$4,0,IF((F217-'Inputs and result'!$B$4)&lt;'Inputs and result'!$E$7+1,G217+$U$9*SQRT(Calcul!F217-'Inputs and result'!$B$4)*$U$8*$U$6,0)))&gt;$U$19,$U$19,(IF(F217&lt;='Inputs and result'!$B$4,0,IF((F217-'Inputs and result'!$B$4)&lt;'Inputs and result'!$E$7+1,G217+$U$9*SQRT(Calcul!F217-'Inputs and result'!$B$4)*$U$8*$U$6,0))))</f>
        <v>0</v>
      </c>
    </row>
    <row r="218" spans="6:9" x14ac:dyDescent="0.45">
      <c r="F218">
        <v>195</v>
      </c>
      <c r="G218" s="10">
        <f>IF(F218&gt;'Inputs and result'!$B$4,0,SUM($B$20:$B$21)*SQRT(F218))</f>
        <v>0</v>
      </c>
      <c r="H218">
        <f t="shared" si="4"/>
        <v>0</v>
      </c>
      <c r="I218" s="10">
        <f>IF((IF(F218&lt;='Inputs and result'!$B$4,0,IF((F218-'Inputs and result'!$B$4)&lt;'Inputs and result'!$E$7+1,G218+$U$9*SQRT(Calcul!F218-'Inputs and result'!$B$4)*$U$8*$U$6,0)))&gt;$U$19,$U$19,(IF(F218&lt;='Inputs and result'!$B$4,0,IF((F218-'Inputs and result'!$B$4)&lt;'Inputs and result'!$E$7+1,G218+$U$9*SQRT(Calcul!F218-'Inputs and result'!$B$4)*$U$8*$U$6,0))))</f>
        <v>0</v>
      </c>
    </row>
    <row r="219" spans="6:9" x14ac:dyDescent="0.45">
      <c r="F219">
        <v>196</v>
      </c>
      <c r="G219" s="10">
        <f>IF(F219&gt;'Inputs and result'!$B$4,0,SUM($B$20:$B$21)*SQRT(F219))</f>
        <v>0</v>
      </c>
      <c r="H219">
        <f t="shared" si="4"/>
        <v>0</v>
      </c>
      <c r="I219" s="10">
        <f>IF((IF(F219&lt;='Inputs and result'!$B$4,0,IF((F219-'Inputs and result'!$B$4)&lt;'Inputs and result'!$E$7+1,G219+$U$9*SQRT(Calcul!F219-'Inputs and result'!$B$4)*$U$8*$U$6,0)))&gt;$U$19,$U$19,(IF(F219&lt;='Inputs and result'!$B$4,0,IF((F219-'Inputs and result'!$B$4)&lt;'Inputs and result'!$E$7+1,G219+$U$9*SQRT(Calcul!F219-'Inputs and result'!$B$4)*$U$8*$U$6,0))))</f>
        <v>0</v>
      </c>
    </row>
    <row r="220" spans="6:9" x14ac:dyDescent="0.45">
      <c r="F220">
        <v>197</v>
      </c>
      <c r="G220" s="10">
        <f>IF(F220&gt;'Inputs and result'!$B$4,0,SUM($B$20:$B$21)*SQRT(F220))</f>
        <v>0</v>
      </c>
      <c r="H220">
        <f t="shared" si="4"/>
        <v>0</v>
      </c>
      <c r="I220" s="10">
        <f>IF((IF(F220&lt;='Inputs and result'!$B$4,0,IF((F220-'Inputs and result'!$B$4)&lt;'Inputs and result'!$E$7+1,G220+$U$9*SQRT(Calcul!F220-'Inputs and result'!$B$4)*$U$8*$U$6,0)))&gt;$U$19,$U$19,(IF(F220&lt;='Inputs and result'!$B$4,0,IF((F220-'Inputs and result'!$B$4)&lt;'Inputs and result'!$E$7+1,G220+$U$9*SQRT(Calcul!F220-'Inputs and result'!$B$4)*$U$8*$U$6,0))))</f>
        <v>0</v>
      </c>
    </row>
    <row r="221" spans="6:9" x14ac:dyDescent="0.45">
      <c r="F221">
        <v>198</v>
      </c>
      <c r="G221" s="10">
        <f>IF(F221&gt;'Inputs and result'!$B$4,0,SUM($B$20:$B$21)*SQRT(F221))</f>
        <v>0</v>
      </c>
      <c r="H221">
        <f t="shared" si="4"/>
        <v>0</v>
      </c>
      <c r="I221" s="10">
        <f>IF((IF(F221&lt;='Inputs and result'!$B$4,0,IF((F221-'Inputs and result'!$B$4)&lt;'Inputs and result'!$E$7+1,G221+$U$9*SQRT(Calcul!F221-'Inputs and result'!$B$4)*$U$8*$U$6,0)))&gt;$U$19,$U$19,(IF(F221&lt;='Inputs and result'!$B$4,0,IF((F221-'Inputs and result'!$B$4)&lt;'Inputs and result'!$E$7+1,G221+$U$9*SQRT(Calcul!F221-'Inputs and result'!$B$4)*$U$8*$U$6,0))))</f>
        <v>0</v>
      </c>
    </row>
    <row r="222" spans="6:9" x14ac:dyDescent="0.45">
      <c r="F222">
        <v>199</v>
      </c>
      <c r="G222" s="10">
        <f>IF(F222&gt;'Inputs and result'!$B$4,0,SUM($B$20:$B$21)*SQRT(F222))</f>
        <v>0</v>
      </c>
      <c r="H222">
        <f t="shared" si="4"/>
        <v>0</v>
      </c>
      <c r="I222" s="10">
        <f>IF((IF(F222&lt;='Inputs and result'!$B$4,0,IF((F222-'Inputs and result'!$B$4)&lt;'Inputs and result'!$E$7+1,G222+$U$9*SQRT(Calcul!F222-'Inputs and result'!$B$4)*$U$8*$U$6,0)))&gt;$U$19,$U$19,(IF(F222&lt;='Inputs and result'!$B$4,0,IF((F222-'Inputs and result'!$B$4)&lt;'Inputs and result'!$E$7+1,G222+$U$9*SQRT(Calcul!F222-'Inputs and result'!$B$4)*$U$8*$U$6,0))))</f>
        <v>0</v>
      </c>
    </row>
    <row r="223" spans="6:9" x14ac:dyDescent="0.45">
      <c r="F223">
        <v>200</v>
      </c>
      <c r="G223" s="10">
        <f>IF(F223&gt;'Inputs and result'!$B$4,0,SUM($B$20:$B$21)*SQRT(F223))</f>
        <v>0</v>
      </c>
      <c r="H223">
        <f t="shared" si="4"/>
        <v>0</v>
      </c>
      <c r="I223" s="10">
        <f>IF((IF(F223&lt;='Inputs and result'!$B$4,0,IF((F223-'Inputs and result'!$B$4)&lt;'Inputs and result'!$E$7+1,G223+$U$9*SQRT(Calcul!F223-'Inputs and result'!$B$4)*$U$8*$U$6,0)))&gt;$U$19,$U$19,(IF(F223&lt;='Inputs and result'!$B$4,0,IF((F223-'Inputs and result'!$B$4)&lt;'Inputs and result'!$E$7+1,G223+$U$9*SQRT(Calcul!F223-'Inputs and result'!$B$4)*$U$8*$U$6,0))))</f>
        <v>0</v>
      </c>
    </row>
    <row r="224" spans="6:9" x14ac:dyDescent="0.45">
      <c r="G224" s="10"/>
    </row>
    <row r="225" spans="7:7" x14ac:dyDescent="0.45">
      <c r="G225" s="10"/>
    </row>
    <row r="226" spans="7:7" x14ac:dyDescent="0.45">
      <c r="G226" s="10"/>
    </row>
    <row r="227" spans="7:7" x14ac:dyDescent="0.45">
      <c r="G227" s="10"/>
    </row>
    <row r="228" spans="7:7" x14ac:dyDescent="0.45">
      <c r="G228" s="10"/>
    </row>
    <row r="229" spans="7:7" x14ac:dyDescent="0.45">
      <c r="G229" s="10"/>
    </row>
    <row r="230" spans="7:7" x14ac:dyDescent="0.45">
      <c r="G230" s="10"/>
    </row>
    <row r="231" spans="7:7" x14ac:dyDescent="0.45">
      <c r="G231" s="10"/>
    </row>
    <row r="232" spans="7:7" x14ac:dyDescent="0.45">
      <c r="G232" s="10"/>
    </row>
    <row r="233" spans="7:7" x14ac:dyDescent="0.45">
      <c r="G233" s="10"/>
    </row>
    <row r="234" spans="7:7" x14ac:dyDescent="0.45">
      <c r="G234" s="10"/>
    </row>
    <row r="235" spans="7:7" x14ac:dyDescent="0.45">
      <c r="G235" s="10"/>
    </row>
    <row r="236" spans="7:7" x14ac:dyDescent="0.45">
      <c r="G236" s="10"/>
    </row>
    <row r="237" spans="7:7" x14ac:dyDescent="0.45">
      <c r="G237" s="10"/>
    </row>
    <row r="238" spans="7:7" x14ac:dyDescent="0.45">
      <c r="G238" s="10"/>
    </row>
    <row r="239" spans="7:7" x14ac:dyDescent="0.45">
      <c r="G239" s="10"/>
    </row>
    <row r="240" spans="7:7" x14ac:dyDescent="0.45">
      <c r="G240" s="10"/>
    </row>
    <row r="241" spans="7:7" x14ac:dyDescent="0.45">
      <c r="G241" s="10"/>
    </row>
    <row r="242" spans="7:7" x14ac:dyDescent="0.45">
      <c r="G242" s="10"/>
    </row>
    <row r="243" spans="7:7" x14ac:dyDescent="0.45">
      <c r="G243" s="10"/>
    </row>
    <row r="244" spans="7:7" x14ac:dyDescent="0.45">
      <c r="G244" s="10"/>
    </row>
    <row r="245" spans="7:7" x14ac:dyDescent="0.45">
      <c r="G245" s="10"/>
    </row>
    <row r="246" spans="7:7" x14ac:dyDescent="0.45">
      <c r="G246" s="10"/>
    </row>
    <row r="247" spans="7:7" x14ac:dyDescent="0.45">
      <c r="G247" s="10"/>
    </row>
    <row r="248" spans="7:7" x14ac:dyDescent="0.45">
      <c r="G248" s="10"/>
    </row>
    <row r="249" spans="7:7" x14ac:dyDescent="0.45">
      <c r="G249" s="10"/>
    </row>
    <row r="250" spans="7:7" x14ac:dyDescent="0.45">
      <c r="G250" s="10"/>
    </row>
    <row r="251" spans="7:7" x14ac:dyDescent="0.45">
      <c r="G251" s="10"/>
    </row>
    <row r="252" spans="7:7" x14ac:dyDescent="0.45">
      <c r="G252" s="10"/>
    </row>
    <row r="253" spans="7:7" x14ac:dyDescent="0.45">
      <c r="G253" s="10"/>
    </row>
    <row r="254" spans="7:7" x14ac:dyDescent="0.45">
      <c r="G254" s="10"/>
    </row>
    <row r="255" spans="7:7" x14ac:dyDescent="0.45">
      <c r="G255" s="10"/>
    </row>
    <row r="256" spans="7:7" x14ac:dyDescent="0.45">
      <c r="G256" s="10"/>
    </row>
    <row r="257" spans="7:7" x14ac:dyDescent="0.45">
      <c r="G257" s="10"/>
    </row>
    <row r="258" spans="7:7" x14ac:dyDescent="0.45">
      <c r="G258" s="10"/>
    </row>
    <row r="259" spans="7:7" x14ac:dyDescent="0.45">
      <c r="G259" s="10"/>
    </row>
    <row r="260" spans="7:7" x14ac:dyDescent="0.45">
      <c r="G260" s="10"/>
    </row>
    <row r="261" spans="7:7" x14ac:dyDescent="0.45">
      <c r="G261" s="10"/>
    </row>
    <row r="262" spans="7:7" x14ac:dyDescent="0.45">
      <c r="G262" s="10"/>
    </row>
    <row r="263" spans="7:7" x14ac:dyDescent="0.45">
      <c r="G263" s="10"/>
    </row>
    <row r="264" spans="7:7" x14ac:dyDescent="0.45">
      <c r="G264" s="10"/>
    </row>
    <row r="265" spans="7:7" x14ac:dyDescent="0.45">
      <c r="G265" s="10"/>
    </row>
    <row r="266" spans="7:7" x14ac:dyDescent="0.45">
      <c r="G266" s="10"/>
    </row>
    <row r="267" spans="7:7" x14ac:dyDescent="0.45">
      <c r="G267" s="10"/>
    </row>
    <row r="268" spans="7:7" x14ac:dyDescent="0.45">
      <c r="G268" s="10"/>
    </row>
    <row r="269" spans="7:7" x14ac:dyDescent="0.45">
      <c r="G269" s="10"/>
    </row>
    <row r="270" spans="7:7" x14ac:dyDescent="0.45">
      <c r="G270" s="10"/>
    </row>
    <row r="271" spans="7:7" x14ac:dyDescent="0.45">
      <c r="G271" s="10"/>
    </row>
    <row r="272" spans="7:7" x14ac:dyDescent="0.45">
      <c r="G272" s="10"/>
    </row>
    <row r="273" spans="7:7" x14ac:dyDescent="0.45">
      <c r="G273" s="10"/>
    </row>
    <row r="274" spans="7:7" x14ac:dyDescent="0.45">
      <c r="G274" s="10"/>
    </row>
    <row r="275" spans="7:7" x14ac:dyDescent="0.45">
      <c r="G275" s="10"/>
    </row>
    <row r="276" spans="7:7" x14ac:dyDescent="0.45">
      <c r="G276" s="10"/>
    </row>
    <row r="277" spans="7:7" x14ac:dyDescent="0.45">
      <c r="G277" s="10"/>
    </row>
    <row r="278" spans="7:7" x14ac:dyDescent="0.45">
      <c r="G278" s="10"/>
    </row>
    <row r="279" spans="7:7" x14ac:dyDescent="0.45">
      <c r="G279" s="10"/>
    </row>
    <row r="280" spans="7:7" x14ac:dyDescent="0.45">
      <c r="G280" s="10"/>
    </row>
    <row r="281" spans="7:7" x14ac:dyDescent="0.45">
      <c r="G281" s="10"/>
    </row>
    <row r="282" spans="7:7" x14ac:dyDescent="0.45">
      <c r="G282" s="10"/>
    </row>
    <row r="283" spans="7:7" x14ac:dyDescent="0.45">
      <c r="G283" s="10"/>
    </row>
    <row r="284" spans="7:7" x14ac:dyDescent="0.45">
      <c r="G284" s="10"/>
    </row>
    <row r="285" spans="7:7" x14ac:dyDescent="0.45">
      <c r="G285" s="10"/>
    </row>
    <row r="286" spans="7:7" x14ac:dyDescent="0.45">
      <c r="G286" s="10"/>
    </row>
    <row r="287" spans="7:7" x14ac:dyDescent="0.45">
      <c r="G287" s="10"/>
    </row>
    <row r="288" spans="7:7" x14ac:dyDescent="0.45">
      <c r="G288" s="10"/>
    </row>
    <row r="289" spans="7:7" x14ac:dyDescent="0.45">
      <c r="G289" s="10"/>
    </row>
    <row r="290" spans="7:7" x14ac:dyDescent="0.45">
      <c r="G290" s="10"/>
    </row>
    <row r="291" spans="7:7" x14ac:dyDescent="0.45">
      <c r="G291" s="10"/>
    </row>
    <row r="292" spans="7:7" x14ac:dyDescent="0.45">
      <c r="G292" s="10"/>
    </row>
    <row r="293" spans="7:7" x14ac:dyDescent="0.45">
      <c r="G293" s="10"/>
    </row>
    <row r="294" spans="7:7" x14ac:dyDescent="0.45">
      <c r="G294" s="10"/>
    </row>
    <row r="295" spans="7:7" x14ac:dyDescent="0.45">
      <c r="G295" s="10"/>
    </row>
    <row r="296" spans="7:7" x14ac:dyDescent="0.45">
      <c r="G296" s="10"/>
    </row>
    <row r="297" spans="7:7" x14ac:dyDescent="0.45">
      <c r="G297" s="10"/>
    </row>
    <row r="298" spans="7:7" x14ac:dyDescent="0.45">
      <c r="G298" s="10"/>
    </row>
    <row r="299" spans="7:7" x14ac:dyDescent="0.45">
      <c r="G299" s="10"/>
    </row>
    <row r="300" spans="7:7" x14ac:dyDescent="0.45">
      <c r="G300" s="10"/>
    </row>
    <row r="301" spans="7:7" x14ac:dyDescent="0.45">
      <c r="G301" s="10"/>
    </row>
    <row r="302" spans="7:7" x14ac:dyDescent="0.45">
      <c r="G302" s="10"/>
    </row>
    <row r="303" spans="7:7" x14ac:dyDescent="0.45">
      <c r="G303" s="10"/>
    </row>
    <row r="304" spans="7:7" x14ac:dyDescent="0.45">
      <c r="G304" s="10"/>
    </row>
    <row r="305" spans="7:7" x14ac:dyDescent="0.45">
      <c r="G305" s="10"/>
    </row>
    <row r="306" spans="7:7" x14ac:dyDescent="0.45">
      <c r="G306" s="10"/>
    </row>
    <row r="307" spans="7:7" x14ac:dyDescent="0.45">
      <c r="G307" s="10"/>
    </row>
    <row r="308" spans="7:7" x14ac:dyDescent="0.45">
      <c r="G308" s="10"/>
    </row>
    <row r="309" spans="7:7" x14ac:dyDescent="0.45">
      <c r="G309" s="10"/>
    </row>
    <row r="310" spans="7:7" x14ac:dyDescent="0.45">
      <c r="G310" s="10"/>
    </row>
    <row r="311" spans="7:7" x14ac:dyDescent="0.45">
      <c r="G311" s="10"/>
    </row>
    <row r="312" spans="7:7" x14ac:dyDescent="0.45">
      <c r="G312" s="10"/>
    </row>
    <row r="313" spans="7:7" x14ac:dyDescent="0.45">
      <c r="G313" s="10"/>
    </row>
    <row r="314" spans="7:7" x14ac:dyDescent="0.45">
      <c r="G314" s="10"/>
    </row>
    <row r="315" spans="7:7" x14ac:dyDescent="0.45">
      <c r="G315" s="10"/>
    </row>
    <row r="316" spans="7:7" x14ac:dyDescent="0.45">
      <c r="G316" s="10"/>
    </row>
    <row r="317" spans="7:7" x14ac:dyDescent="0.45">
      <c r="G317" s="10"/>
    </row>
    <row r="318" spans="7:7" x14ac:dyDescent="0.45">
      <c r="G318" s="10"/>
    </row>
    <row r="319" spans="7:7" x14ac:dyDescent="0.45">
      <c r="G319" s="10"/>
    </row>
    <row r="320" spans="7:7" x14ac:dyDescent="0.45">
      <c r="G320" s="10"/>
    </row>
    <row r="321" spans="7:7" x14ac:dyDescent="0.45">
      <c r="G321" s="10"/>
    </row>
    <row r="322" spans="7:7" x14ac:dyDescent="0.45">
      <c r="G322" s="10"/>
    </row>
    <row r="323" spans="7:7" x14ac:dyDescent="0.45">
      <c r="G323" s="10"/>
    </row>
    <row r="324" spans="7:7" x14ac:dyDescent="0.45">
      <c r="G324" s="10"/>
    </row>
    <row r="325" spans="7:7" x14ac:dyDescent="0.45">
      <c r="G325" s="10"/>
    </row>
    <row r="326" spans="7:7" x14ac:dyDescent="0.45">
      <c r="G326" s="10"/>
    </row>
    <row r="327" spans="7:7" x14ac:dyDescent="0.45">
      <c r="G327" s="10"/>
    </row>
    <row r="328" spans="7:7" x14ac:dyDescent="0.45">
      <c r="G328" s="10"/>
    </row>
    <row r="329" spans="7:7" x14ac:dyDescent="0.45">
      <c r="G329" s="10"/>
    </row>
    <row r="330" spans="7:7" x14ac:dyDescent="0.45">
      <c r="G330" s="10"/>
    </row>
    <row r="331" spans="7:7" x14ac:dyDescent="0.45">
      <c r="G331" s="10"/>
    </row>
    <row r="332" spans="7:7" x14ac:dyDescent="0.45">
      <c r="G332" s="10"/>
    </row>
    <row r="333" spans="7:7" x14ac:dyDescent="0.45">
      <c r="G333" s="10"/>
    </row>
    <row r="334" spans="7:7" x14ac:dyDescent="0.45">
      <c r="G334" s="10"/>
    </row>
    <row r="335" spans="7:7" x14ac:dyDescent="0.45">
      <c r="G335" s="10"/>
    </row>
    <row r="336" spans="7:7" x14ac:dyDescent="0.45">
      <c r="G336" s="10"/>
    </row>
    <row r="337" spans="7:7" x14ac:dyDescent="0.45">
      <c r="G337" s="10"/>
    </row>
    <row r="338" spans="7:7" x14ac:dyDescent="0.45">
      <c r="G338" s="10"/>
    </row>
    <row r="339" spans="7:7" x14ac:dyDescent="0.45">
      <c r="G339" s="10"/>
    </row>
    <row r="340" spans="7:7" x14ac:dyDescent="0.45">
      <c r="G340" s="10"/>
    </row>
    <row r="341" spans="7:7" x14ac:dyDescent="0.45">
      <c r="G341" s="10"/>
    </row>
    <row r="342" spans="7:7" x14ac:dyDescent="0.45">
      <c r="G342" s="10"/>
    </row>
    <row r="343" spans="7:7" x14ac:dyDescent="0.45">
      <c r="G343" s="10"/>
    </row>
    <row r="344" spans="7:7" x14ac:dyDescent="0.45">
      <c r="G344" s="10"/>
    </row>
    <row r="345" spans="7:7" x14ac:dyDescent="0.45">
      <c r="G345" s="10"/>
    </row>
    <row r="346" spans="7:7" x14ac:dyDescent="0.45">
      <c r="G346" s="10"/>
    </row>
    <row r="347" spans="7:7" x14ac:dyDescent="0.45">
      <c r="G347" s="10"/>
    </row>
    <row r="348" spans="7:7" x14ac:dyDescent="0.45">
      <c r="G348" s="10"/>
    </row>
    <row r="349" spans="7:7" x14ac:dyDescent="0.45">
      <c r="G349" s="10"/>
    </row>
    <row r="350" spans="7:7" x14ac:dyDescent="0.45">
      <c r="G350" s="10"/>
    </row>
    <row r="351" spans="7:7" x14ac:dyDescent="0.45">
      <c r="G351" s="10"/>
    </row>
    <row r="352" spans="7:7" x14ac:dyDescent="0.45">
      <c r="G352" s="10"/>
    </row>
    <row r="353" spans="7:7" x14ac:dyDescent="0.45">
      <c r="G353" s="10"/>
    </row>
    <row r="354" spans="7:7" x14ac:dyDescent="0.45">
      <c r="G354" s="10"/>
    </row>
    <row r="355" spans="7:7" x14ac:dyDescent="0.45">
      <c r="G355" s="10"/>
    </row>
    <row r="356" spans="7:7" x14ac:dyDescent="0.45">
      <c r="G356" s="10"/>
    </row>
    <row r="357" spans="7:7" x14ac:dyDescent="0.45">
      <c r="G357" s="10"/>
    </row>
    <row r="358" spans="7:7" x14ac:dyDescent="0.45">
      <c r="G358" s="10"/>
    </row>
    <row r="359" spans="7:7" x14ac:dyDescent="0.45">
      <c r="G359" s="10"/>
    </row>
    <row r="360" spans="7:7" x14ac:dyDescent="0.45">
      <c r="G360" s="10"/>
    </row>
    <row r="361" spans="7:7" x14ac:dyDescent="0.45">
      <c r="G361" s="10"/>
    </row>
    <row r="362" spans="7:7" x14ac:dyDescent="0.45">
      <c r="G362" s="10"/>
    </row>
    <row r="363" spans="7:7" x14ac:dyDescent="0.45">
      <c r="G363" s="10"/>
    </row>
    <row r="364" spans="7:7" x14ac:dyDescent="0.45">
      <c r="G364" s="10"/>
    </row>
    <row r="365" spans="7:7" x14ac:dyDescent="0.45">
      <c r="G365" s="10"/>
    </row>
    <row r="366" spans="7:7" x14ac:dyDescent="0.45">
      <c r="G366" s="10"/>
    </row>
    <row r="367" spans="7:7" x14ac:dyDescent="0.45">
      <c r="G367" s="10"/>
    </row>
    <row r="368" spans="7:7" x14ac:dyDescent="0.45">
      <c r="G368" s="10"/>
    </row>
    <row r="369" spans="7:7" x14ac:dyDescent="0.45">
      <c r="G369" s="10"/>
    </row>
    <row r="370" spans="7:7" x14ac:dyDescent="0.45">
      <c r="G370" s="10"/>
    </row>
    <row r="371" spans="7:7" x14ac:dyDescent="0.45">
      <c r="G371" s="10"/>
    </row>
    <row r="372" spans="7:7" x14ac:dyDescent="0.45">
      <c r="G372" s="10"/>
    </row>
    <row r="373" spans="7:7" x14ac:dyDescent="0.45">
      <c r="G373" s="10"/>
    </row>
    <row r="374" spans="7:7" x14ac:dyDescent="0.45">
      <c r="G374" s="10"/>
    </row>
    <row r="375" spans="7:7" x14ac:dyDescent="0.45">
      <c r="G375" s="10"/>
    </row>
    <row r="376" spans="7:7" x14ac:dyDescent="0.45">
      <c r="G376" s="10"/>
    </row>
    <row r="377" spans="7:7" x14ac:dyDescent="0.45">
      <c r="G377" s="10"/>
    </row>
    <row r="378" spans="7:7" x14ac:dyDescent="0.45">
      <c r="G378" s="10"/>
    </row>
    <row r="379" spans="7:7" x14ac:dyDescent="0.45">
      <c r="G379" s="10"/>
    </row>
    <row r="380" spans="7:7" x14ac:dyDescent="0.45">
      <c r="G380" s="10"/>
    </row>
    <row r="381" spans="7:7" x14ac:dyDescent="0.45">
      <c r="G381" s="10"/>
    </row>
    <row r="382" spans="7:7" x14ac:dyDescent="0.45">
      <c r="G382" s="10"/>
    </row>
    <row r="383" spans="7:7" x14ac:dyDescent="0.45">
      <c r="G383" s="10"/>
    </row>
    <row r="384" spans="7:7" x14ac:dyDescent="0.45">
      <c r="G384" s="10"/>
    </row>
    <row r="385" spans="7:7" x14ac:dyDescent="0.45">
      <c r="G385" s="10"/>
    </row>
    <row r="386" spans="7:7" x14ac:dyDescent="0.45">
      <c r="G386" s="10"/>
    </row>
    <row r="387" spans="7:7" x14ac:dyDescent="0.45">
      <c r="G387" s="10"/>
    </row>
    <row r="388" spans="7:7" x14ac:dyDescent="0.45">
      <c r="G388" s="10"/>
    </row>
    <row r="389" spans="7:7" x14ac:dyDescent="0.45">
      <c r="G389" s="10"/>
    </row>
    <row r="390" spans="7:7" x14ac:dyDescent="0.45">
      <c r="G390" s="10"/>
    </row>
    <row r="391" spans="7:7" x14ac:dyDescent="0.45">
      <c r="G391" s="10"/>
    </row>
    <row r="392" spans="7:7" x14ac:dyDescent="0.45">
      <c r="G392" s="10"/>
    </row>
    <row r="393" spans="7:7" x14ac:dyDescent="0.45">
      <c r="G393" s="10"/>
    </row>
    <row r="394" spans="7:7" x14ac:dyDescent="0.45">
      <c r="G394" s="10"/>
    </row>
    <row r="395" spans="7:7" x14ac:dyDescent="0.45">
      <c r="G395" s="10"/>
    </row>
    <row r="396" spans="7:7" x14ac:dyDescent="0.45">
      <c r="G396" s="10"/>
    </row>
    <row r="397" spans="7:7" x14ac:dyDescent="0.45">
      <c r="G397" s="10"/>
    </row>
    <row r="398" spans="7:7" x14ac:dyDescent="0.45">
      <c r="G398" s="10"/>
    </row>
    <row r="399" spans="7:7" x14ac:dyDescent="0.45">
      <c r="G399" s="10"/>
    </row>
    <row r="400" spans="7:7" x14ac:dyDescent="0.45">
      <c r="G400" s="10"/>
    </row>
    <row r="401" spans="7:7" x14ac:dyDescent="0.45">
      <c r="G401" s="10"/>
    </row>
    <row r="402" spans="7:7" x14ac:dyDescent="0.45">
      <c r="G402" s="10"/>
    </row>
    <row r="403" spans="7:7" x14ac:dyDescent="0.45">
      <c r="G403" s="10"/>
    </row>
    <row r="404" spans="7:7" x14ac:dyDescent="0.45">
      <c r="G404" s="10"/>
    </row>
    <row r="405" spans="7:7" x14ac:dyDescent="0.45">
      <c r="G405" s="10"/>
    </row>
    <row r="406" spans="7:7" x14ac:dyDescent="0.45">
      <c r="G406" s="10"/>
    </row>
    <row r="407" spans="7:7" x14ac:dyDescent="0.45">
      <c r="G407" s="10"/>
    </row>
    <row r="408" spans="7:7" x14ac:dyDescent="0.45">
      <c r="G408" s="10"/>
    </row>
    <row r="409" spans="7:7" x14ac:dyDescent="0.45">
      <c r="G409" s="10"/>
    </row>
    <row r="410" spans="7:7" x14ac:dyDescent="0.45">
      <c r="G410" s="10"/>
    </row>
    <row r="411" spans="7:7" x14ac:dyDescent="0.45">
      <c r="G411" s="10"/>
    </row>
    <row r="412" spans="7:7" x14ac:dyDescent="0.45">
      <c r="G412" s="10"/>
    </row>
    <row r="413" spans="7:7" x14ac:dyDescent="0.45">
      <c r="G413" s="10"/>
    </row>
    <row r="414" spans="7:7" x14ac:dyDescent="0.45">
      <c r="G414" s="10"/>
    </row>
    <row r="415" spans="7:7" x14ac:dyDescent="0.45">
      <c r="G415" s="10"/>
    </row>
    <row r="416" spans="7:7" x14ac:dyDescent="0.45">
      <c r="G416" s="10"/>
    </row>
    <row r="417" spans="7:7" x14ac:dyDescent="0.45">
      <c r="G417" s="10"/>
    </row>
    <row r="418" spans="7:7" x14ac:dyDescent="0.45">
      <c r="G418" s="10"/>
    </row>
    <row r="419" spans="7:7" x14ac:dyDescent="0.45">
      <c r="G419" s="10"/>
    </row>
    <row r="420" spans="7:7" x14ac:dyDescent="0.45">
      <c r="G420" s="10"/>
    </row>
    <row r="421" spans="7:7" x14ac:dyDescent="0.45">
      <c r="G421" s="10"/>
    </row>
    <row r="422" spans="7:7" x14ac:dyDescent="0.45">
      <c r="G422" s="10"/>
    </row>
    <row r="423" spans="7:7" x14ac:dyDescent="0.45">
      <c r="G423" s="10"/>
    </row>
    <row r="424" spans="7:7" x14ac:dyDescent="0.45">
      <c r="G424" s="10"/>
    </row>
    <row r="425" spans="7:7" x14ac:dyDescent="0.45">
      <c r="G425" s="10"/>
    </row>
    <row r="426" spans="7:7" x14ac:dyDescent="0.45">
      <c r="G426" s="10"/>
    </row>
    <row r="427" spans="7:7" x14ac:dyDescent="0.45">
      <c r="G427" s="10"/>
    </row>
    <row r="428" spans="7:7" x14ac:dyDescent="0.45">
      <c r="G428" s="10"/>
    </row>
    <row r="429" spans="7:7" x14ac:dyDescent="0.45">
      <c r="G429" s="10"/>
    </row>
    <row r="430" spans="7:7" x14ac:dyDescent="0.45">
      <c r="G430" s="10"/>
    </row>
    <row r="431" spans="7:7" x14ac:dyDescent="0.45">
      <c r="G431" s="10"/>
    </row>
    <row r="432" spans="7:7" x14ac:dyDescent="0.45">
      <c r="G432" s="10"/>
    </row>
    <row r="433" spans="7:7" x14ac:dyDescent="0.45">
      <c r="G433" s="10"/>
    </row>
    <row r="434" spans="7:7" x14ac:dyDescent="0.45">
      <c r="G434" s="10"/>
    </row>
    <row r="435" spans="7:7" x14ac:dyDescent="0.45">
      <c r="G435" s="10"/>
    </row>
    <row r="436" spans="7:7" x14ac:dyDescent="0.45">
      <c r="G436" s="10"/>
    </row>
    <row r="437" spans="7:7" x14ac:dyDescent="0.45">
      <c r="G437" s="10"/>
    </row>
    <row r="438" spans="7:7" x14ac:dyDescent="0.45">
      <c r="G438" s="10"/>
    </row>
    <row r="439" spans="7:7" x14ac:dyDescent="0.45">
      <c r="G439" s="10"/>
    </row>
    <row r="440" spans="7:7" x14ac:dyDescent="0.45">
      <c r="G440" s="10"/>
    </row>
    <row r="441" spans="7:7" x14ac:dyDescent="0.45">
      <c r="G441" s="10"/>
    </row>
    <row r="442" spans="7:7" x14ac:dyDescent="0.45">
      <c r="G442" s="10"/>
    </row>
    <row r="443" spans="7:7" x14ac:dyDescent="0.45">
      <c r="G443" s="10"/>
    </row>
    <row r="444" spans="7:7" x14ac:dyDescent="0.45">
      <c r="G444" s="10"/>
    </row>
    <row r="445" spans="7:7" x14ac:dyDescent="0.45">
      <c r="G445" s="10"/>
    </row>
    <row r="446" spans="7:7" x14ac:dyDescent="0.45">
      <c r="G446" s="10"/>
    </row>
    <row r="447" spans="7:7" x14ac:dyDescent="0.45">
      <c r="G447" s="10"/>
    </row>
    <row r="448" spans="7:7" x14ac:dyDescent="0.45">
      <c r="G448" s="10"/>
    </row>
    <row r="449" spans="7:7" x14ac:dyDescent="0.45">
      <c r="G449" s="10"/>
    </row>
    <row r="450" spans="7:7" x14ac:dyDescent="0.45">
      <c r="G450" s="10"/>
    </row>
    <row r="451" spans="7:7" x14ac:dyDescent="0.45">
      <c r="G451" s="10"/>
    </row>
    <row r="452" spans="7:7" x14ac:dyDescent="0.45">
      <c r="G452" s="10"/>
    </row>
    <row r="453" spans="7:7" x14ac:dyDescent="0.45">
      <c r="G453" s="10"/>
    </row>
    <row r="454" spans="7:7" x14ac:dyDescent="0.45">
      <c r="G454" s="10"/>
    </row>
    <row r="455" spans="7:7" x14ac:dyDescent="0.45">
      <c r="G455" s="10"/>
    </row>
    <row r="456" spans="7:7" x14ac:dyDescent="0.45">
      <c r="G456" s="10"/>
    </row>
    <row r="457" spans="7:7" x14ac:dyDescent="0.45">
      <c r="G457" s="10"/>
    </row>
    <row r="458" spans="7:7" x14ac:dyDescent="0.45">
      <c r="G458" s="10"/>
    </row>
    <row r="459" spans="7:7" x14ac:dyDescent="0.45">
      <c r="G459" s="10"/>
    </row>
    <row r="460" spans="7:7" x14ac:dyDescent="0.45">
      <c r="G460" s="10"/>
    </row>
    <row r="461" spans="7:7" x14ac:dyDescent="0.45">
      <c r="G461" s="10"/>
    </row>
    <row r="462" spans="7:7" x14ac:dyDescent="0.45">
      <c r="G462" s="10"/>
    </row>
    <row r="463" spans="7:7" x14ac:dyDescent="0.45">
      <c r="G463" s="10"/>
    </row>
    <row r="464" spans="7:7" x14ac:dyDescent="0.45">
      <c r="G464" s="10"/>
    </row>
    <row r="465" spans="7:7" x14ac:dyDescent="0.45">
      <c r="G465" s="10"/>
    </row>
    <row r="466" spans="7:7" x14ac:dyDescent="0.45">
      <c r="G466" s="10"/>
    </row>
    <row r="467" spans="7:7" x14ac:dyDescent="0.45">
      <c r="G467" s="10"/>
    </row>
    <row r="468" spans="7:7" x14ac:dyDescent="0.45">
      <c r="G468" s="10"/>
    </row>
    <row r="469" spans="7:7" x14ac:dyDescent="0.45">
      <c r="G469" s="10"/>
    </row>
    <row r="470" spans="7:7" x14ac:dyDescent="0.45">
      <c r="G470" s="10"/>
    </row>
    <row r="471" spans="7:7" x14ac:dyDescent="0.45">
      <c r="G471" s="10"/>
    </row>
    <row r="472" spans="7:7" x14ac:dyDescent="0.45">
      <c r="G472" s="10"/>
    </row>
    <row r="473" spans="7:7" x14ac:dyDescent="0.45">
      <c r="G473" s="10"/>
    </row>
    <row r="474" spans="7:7" x14ac:dyDescent="0.45">
      <c r="G474" s="10"/>
    </row>
    <row r="475" spans="7:7" x14ac:dyDescent="0.45">
      <c r="G475" s="10"/>
    </row>
    <row r="476" spans="7:7" x14ac:dyDescent="0.45">
      <c r="G476" s="10"/>
    </row>
    <row r="477" spans="7:7" x14ac:dyDescent="0.45">
      <c r="G477" s="10"/>
    </row>
    <row r="478" spans="7:7" x14ac:dyDescent="0.45">
      <c r="G478" s="10"/>
    </row>
    <row r="479" spans="7:7" x14ac:dyDescent="0.45">
      <c r="G479" s="10"/>
    </row>
    <row r="480" spans="7:7" x14ac:dyDescent="0.45">
      <c r="G480" s="10"/>
    </row>
    <row r="481" spans="7:7" x14ac:dyDescent="0.45">
      <c r="G481" s="10"/>
    </row>
    <row r="482" spans="7:7" x14ac:dyDescent="0.45">
      <c r="G482" s="10"/>
    </row>
    <row r="483" spans="7:7" x14ac:dyDescent="0.45">
      <c r="G483" s="10"/>
    </row>
    <row r="484" spans="7:7" x14ac:dyDescent="0.45">
      <c r="G484" s="10"/>
    </row>
    <row r="485" spans="7:7" x14ac:dyDescent="0.45">
      <c r="G485" s="10"/>
    </row>
    <row r="486" spans="7:7" x14ac:dyDescent="0.45">
      <c r="G486" s="10"/>
    </row>
    <row r="487" spans="7:7" x14ac:dyDescent="0.45">
      <c r="G487" s="10"/>
    </row>
    <row r="488" spans="7:7" x14ac:dyDescent="0.45">
      <c r="G488" s="10"/>
    </row>
    <row r="489" spans="7:7" x14ac:dyDescent="0.45">
      <c r="G489" s="10"/>
    </row>
    <row r="490" spans="7:7" x14ac:dyDescent="0.45">
      <c r="G490" s="10"/>
    </row>
    <row r="491" spans="7:7" x14ac:dyDescent="0.45">
      <c r="G491" s="10"/>
    </row>
    <row r="492" spans="7:7" x14ac:dyDescent="0.45">
      <c r="G492" s="10"/>
    </row>
    <row r="493" spans="7:7" x14ac:dyDescent="0.45">
      <c r="G493" s="10"/>
    </row>
    <row r="494" spans="7:7" x14ac:dyDescent="0.45">
      <c r="G494" s="10"/>
    </row>
    <row r="495" spans="7:7" x14ac:dyDescent="0.45">
      <c r="G495" s="10"/>
    </row>
    <row r="496" spans="7:7" x14ac:dyDescent="0.45">
      <c r="G496" s="10"/>
    </row>
    <row r="497" spans="7:7" x14ac:dyDescent="0.45">
      <c r="G497" s="10"/>
    </row>
    <row r="498" spans="7:7" x14ac:dyDescent="0.45">
      <c r="G498" s="10"/>
    </row>
    <row r="499" spans="7:7" x14ac:dyDescent="0.45">
      <c r="G499" s="10"/>
    </row>
    <row r="500" spans="7:7" x14ac:dyDescent="0.45">
      <c r="G500" s="10"/>
    </row>
    <row r="501" spans="7:7" x14ac:dyDescent="0.45">
      <c r="G501" s="10"/>
    </row>
    <row r="502" spans="7:7" x14ac:dyDescent="0.45">
      <c r="G502" s="10"/>
    </row>
    <row r="503" spans="7:7" x14ac:dyDescent="0.45">
      <c r="G503" s="10"/>
    </row>
    <row r="504" spans="7:7" x14ac:dyDescent="0.45">
      <c r="G504" s="10"/>
    </row>
    <row r="505" spans="7:7" x14ac:dyDescent="0.45">
      <c r="G505" s="10"/>
    </row>
    <row r="506" spans="7:7" x14ac:dyDescent="0.45">
      <c r="G506" s="10"/>
    </row>
    <row r="507" spans="7:7" x14ac:dyDescent="0.45">
      <c r="G507" s="10"/>
    </row>
    <row r="508" spans="7:7" x14ac:dyDescent="0.45">
      <c r="G508" s="10"/>
    </row>
    <row r="509" spans="7:7" x14ac:dyDescent="0.45">
      <c r="G509" s="10"/>
    </row>
    <row r="510" spans="7:7" x14ac:dyDescent="0.45">
      <c r="G510" s="10"/>
    </row>
    <row r="511" spans="7:7" x14ac:dyDescent="0.45">
      <c r="G511" s="10"/>
    </row>
    <row r="512" spans="7:7" x14ac:dyDescent="0.45">
      <c r="G512" s="10"/>
    </row>
    <row r="513" spans="7:7" x14ac:dyDescent="0.45">
      <c r="G513" s="10"/>
    </row>
    <row r="514" spans="7:7" x14ac:dyDescent="0.45">
      <c r="G514" s="10"/>
    </row>
    <row r="515" spans="7:7" x14ac:dyDescent="0.45">
      <c r="G515" s="10"/>
    </row>
    <row r="516" spans="7:7" x14ac:dyDescent="0.45">
      <c r="G516" s="10"/>
    </row>
    <row r="517" spans="7:7" x14ac:dyDescent="0.45">
      <c r="G517" s="10"/>
    </row>
    <row r="518" spans="7:7" x14ac:dyDescent="0.45">
      <c r="G518" s="10"/>
    </row>
    <row r="519" spans="7:7" x14ac:dyDescent="0.45">
      <c r="G519" s="10"/>
    </row>
    <row r="520" spans="7:7" x14ac:dyDescent="0.45">
      <c r="G520" s="10"/>
    </row>
    <row r="521" spans="7:7" x14ac:dyDescent="0.45">
      <c r="G521" s="10"/>
    </row>
    <row r="522" spans="7:7" x14ac:dyDescent="0.45">
      <c r="G522" s="10"/>
    </row>
    <row r="523" spans="7:7" x14ac:dyDescent="0.45">
      <c r="G523" s="10"/>
    </row>
  </sheetData>
  <mergeCells count="5">
    <mergeCell ref="O1:R1"/>
    <mergeCell ref="T1:U1"/>
    <mergeCell ref="F1:J1"/>
    <mergeCell ref="F10:M10"/>
    <mergeCell ref="F16:K16"/>
  </mergeCells>
  <phoneticPr fontId="4" type="noConversion"/>
  <pageMargins left="0.7" right="0.7" top="0.75" bottom="0.75" header="0.3" footer="0.3"/>
  <pageSetup paperSize="134" orientation="landscape" r:id="rId1"/>
  <ignoredErrors>
    <ignoredError sqref="U19"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Inputs and result</vt:lpstr>
      <vt:lpstr>Calcul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Hessam Azarijafari</dc:creator>
  <cp:lastModifiedBy>Hessam Azarijafari</cp:lastModifiedBy>
  <cp:lastPrinted>2021-04-14T17:51:18Z</cp:lastPrinted>
  <dcterms:created xsi:type="dcterms:W3CDTF">2015-06-05T18:17:20Z</dcterms:created>
  <dcterms:modified xsi:type="dcterms:W3CDTF">2021-12-10T21:38:22Z</dcterms:modified>
</cp:coreProperties>
</file>