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\Downloads\"/>
    </mc:Choice>
  </mc:AlternateContent>
  <xr:revisionPtr revIDLastSave="0" documentId="8_{FCA52E8C-2DB0-4EDF-9010-9606B966B9F9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Material Cost Impact" sheetId="4" r:id="rId1"/>
    <sheet name="MIT Compition Impact (2)" sheetId="5" state="hidden" r:id="rId2"/>
    <sheet name="Material Mass Impact By State" sheetId="10" r:id="rId3"/>
    <sheet name="Material Mass Impact Manual" sheetId="6" r:id="rId4"/>
    <sheet name="Market Share" sheetId="9" r:id="rId5"/>
    <sheet name="Avg PCC unit cost" sheetId="8" r:id="rId6"/>
    <sheet name="Avg AC unit cost" sheetId="7" r:id="rId7"/>
  </sheets>
  <definedNames>
    <definedName name="STATES">'Market Share'!$A$3:$A$49</definedName>
  </definedNames>
  <calcPr calcId="191029" concurrentCalc="0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G14" i="10"/>
  <c r="C14" i="10"/>
  <c r="D14" i="10"/>
  <c r="C8" i="10"/>
  <c r="E14" i="10"/>
  <c r="F14" i="10"/>
  <c r="P49" i="7"/>
  <c r="P40" i="9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1" i="9"/>
  <c r="P42" i="9"/>
  <c r="P43" i="9"/>
  <c r="P44" i="9"/>
  <c r="P45" i="9"/>
  <c r="P46" i="9"/>
  <c r="P47" i="9"/>
  <c r="P48" i="9"/>
  <c r="P49" i="9"/>
  <c r="A10" i="4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B48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B41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B4" i="9"/>
  <c r="C4" i="9"/>
  <c r="D4" i="9"/>
  <c r="E4" i="9"/>
  <c r="F4" i="9"/>
  <c r="G4" i="9"/>
  <c r="H4" i="9"/>
  <c r="I4" i="9"/>
  <c r="J4" i="9"/>
  <c r="K4" i="9"/>
  <c r="L4" i="9"/>
  <c r="M4" i="9"/>
  <c r="N4" i="9"/>
  <c r="O4" i="9"/>
  <c r="B5" i="9"/>
  <c r="C5" i="9"/>
  <c r="D5" i="9"/>
  <c r="E5" i="9"/>
  <c r="F5" i="9"/>
  <c r="G5" i="9"/>
  <c r="H5" i="9"/>
  <c r="I5" i="9"/>
  <c r="J5" i="9"/>
  <c r="K5" i="9"/>
  <c r="L5" i="9"/>
  <c r="M5" i="9"/>
  <c r="N5" i="9"/>
  <c r="O5" i="9"/>
  <c r="B6" i="9"/>
  <c r="C6" i="9"/>
  <c r="D6" i="9"/>
  <c r="E6" i="9"/>
  <c r="F6" i="9"/>
  <c r="G6" i="9"/>
  <c r="H6" i="9"/>
  <c r="I6" i="9"/>
  <c r="J6" i="9"/>
  <c r="K6" i="9"/>
  <c r="L6" i="9"/>
  <c r="M6" i="9"/>
  <c r="N6" i="9"/>
  <c r="O6" i="9"/>
  <c r="B7" i="9"/>
  <c r="C7" i="9"/>
  <c r="D7" i="9"/>
  <c r="E7" i="9"/>
  <c r="F7" i="9"/>
  <c r="G7" i="9"/>
  <c r="H7" i="9"/>
  <c r="I7" i="9"/>
  <c r="J7" i="9"/>
  <c r="K7" i="9"/>
  <c r="L7" i="9"/>
  <c r="M7" i="9"/>
  <c r="N7" i="9"/>
  <c r="O7" i="9"/>
  <c r="B8" i="9"/>
  <c r="C8" i="9"/>
  <c r="D8" i="9"/>
  <c r="E8" i="9"/>
  <c r="F8" i="9"/>
  <c r="G8" i="9"/>
  <c r="H8" i="9"/>
  <c r="I8" i="9"/>
  <c r="J8" i="9"/>
  <c r="K8" i="9"/>
  <c r="L8" i="9"/>
  <c r="M8" i="9"/>
  <c r="N8" i="9"/>
  <c r="O8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B10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B3" i="9"/>
  <c r="C3" i="9"/>
  <c r="P3" i="9"/>
  <c r="D3" i="9"/>
  <c r="E3" i="9"/>
  <c r="F3" i="9"/>
  <c r="G3" i="9"/>
  <c r="H3" i="9"/>
  <c r="I3" i="9"/>
  <c r="J3" i="9"/>
  <c r="K3" i="9"/>
  <c r="L3" i="9"/>
  <c r="M3" i="9"/>
  <c r="N3" i="9"/>
  <c r="O3" i="9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C7" i="10"/>
  <c r="I14" i="10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3" i="8"/>
  <c r="P4" i="8"/>
  <c r="P5" i="8"/>
  <c r="P6" i="8"/>
  <c r="P2" i="8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2" i="7"/>
  <c r="AF49" i="9"/>
  <c r="AF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9" i="9"/>
  <c r="AF40" i="9"/>
  <c r="AF41" i="9"/>
  <c r="AF42" i="9"/>
  <c r="AF43" i="9"/>
  <c r="AF44" i="9"/>
  <c r="AF45" i="9"/>
  <c r="AF46" i="9"/>
  <c r="AF47" i="9"/>
  <c r="AF48" i="9"/>
  <c r="AF3" i="9"/>
  <c r="B14" i="10"/>
  <c r="B16" i="10"/>
  <c r="B17" i="10"/>
  <c r="B18" i="10"/>
  <c r="B19" i="10"/>
  <c r="A11" i="4"/>
  <c r="A12" i="4"/>
  <c r="A13" i="4"/>
  <c r="A14" i="4"/>
  <c r="B13" i="6"/>
  <c r="B15" i="6"/>
  <c r="I13" i="6"/>
  <c r="E13" i="6"/>
  <c r="G13" i="6"/>
  <c r="C13" i="6"/>
  <c r="P26" i="6"/>
  <c r="G18" i="6"/>
  <c r="Q18" i="6"/>
  <c r="P30" i="6"/>
  <c r="G17" i="6"/>
  <c r="P29" i="6"/>
  <c r="G16" i="6"/>
  <c r="P28" i="6"/>
  <c r="G15" i="6"/>
  <c r="Q15" i="6"/>
  <c r="D8" i="4"/>
  <c r="D9" i="4"/>
  <c r="D10" i="4"/>
  <c r="D11" i="4"/>
  <c r="D12" i="4"/>
  <c r="D13" i="4"/>
  <c r="D14" i="4"/>
  <c r="C8" i="4"/>
  <c r="C9" i="4"/>
  <c r="C10" i="4"/>
  <c r="C11" i="4"/>
  <c r="C12" i="4"/>
  <c r="C13" i="4"/>
  <c r="C14" i="4"/>
  <c r="D7" i="4"/>
  <c r="C7" i="4"/>
  <c r="G33" i="5"/>
  <c r="P33" i="5"/>
  <c r="P45" i="5"/>
  <c r="G36" i="5"/>
  <c r="Q36" i="5"/>
  <c r="G35" i="5"/>
  <c r="P35" i="5"/>
  <c r="G34" i="5"/>
  <c r="Q34" i="5"/>
  <c r="G31" i="5"/>
  <c r="P44" i="5"/>
  <c r="C31" i="5"/>
  <c r="Q26" i="5"/>
  <c r="P26" i="5"/>
  <c r="I26" i="5"/>
  <c r="E26" i="5"/>
  <c r="Q25" i="5"/>
  <c r="P25" i="5"/>
  <c r="I25" i="5"/>
  <c r="E25" i="5"/>
  <c r="Q24" i="5"/>
  <c r="P24" i="5"/>
  <c r="I24" i="5"/>
  <c r="E24" i="5"/>
  <c r="Q23" i="5"/>
  <c r="P23" i="5"/>
  <c r="I23" i="5"/>
  <c r="E23" i="5"/>
  <c r="Q22" i="5"/>
  <c r="P22" i="5"/>
  <c r="I22" i="5"/>
  <c r="E22" i="5"/>
  <c r="Q21" i="5"/>
  <c r="P21" i="5"/>
  <c r="I21" i="5"/>
  <c r="J21" i="5"/>
  <c r="E21" i="5"/>
  <c r="Q20" i="5"/>
  <c r="P20" i="5"/>
  <c r="I20" i="5"/>
  <c r="E20" i="5"/>
  <c r="Q19" i="5"/>
  <c r="P19" i="5"/>
  <c r="I19" i="5"/>
  <c r="E19" i="5"/>
  <c r="B19" i="5"/>
  <c r="B21" i="5"/>
  <c r="Q18" i="5"/>
  <c r="P18" i="5"/>
  <c r="I18" i="5"/>
  <c r="E18" i="5"/>
  <c r="D18" i="5"/>
  <c r="H18" i="5"/>
  <c r="N11" i="5"/>
  <c r="F19" i="5"/>
  <c r="P10" i="5"/>
  <c r="N10" i="5"/>
  <c r="J19" i="5"/>
  <c r="J26" i="5"/>
  <c r="Q31" i="5"/>
  <c r="P46" i="5"/>
  <c r="P48" i="5"/>
  <c r="Q35" i="5"/>
  <c r="P47" i="5"/>
  <c r="D19" i="5"/>
  <c r="B20" i="5"/>
  <c r="B33" i="5"/>
  <c r="D33" i="5"/>
  <c r="H19" i="5"/>
  <c r="K19" i="5"/>
  <c r="L19" i="5"/>
  <c r="Z25" i="4"/>
  <c r="AA25" i="4"/>
  <c r="I15" i="6"/>
  <c r="I18" i="6"/>
  <c r="P16" i="6"/>
  <c r="I17" i="6"/>
  <c r="I16" i="6"/>
  <c r="E17" i="6"/>
  <c r="P15" i="6"/>
  <c r="D13" i="6"/>
  <c r="Q16" i="6"/>
  <c r="E16" i="6"/>
  <c r="P18" i="6"/>
  <c r="E18" i="6"/>
  <c r="F13" i="6"/>
  <c r="Q26" i="6"/>
  <c r="G19" i="5"/>
  <c r="F24" i="5"/>
  <c r="F25" i="5"/>
  <c r="F21" i="5"/>
  <c r="F18" i="5"/>
  <c r="G18" i="5"/>
  <c r="F20" i="5"/>
  <c r="E33" i="5"/>
  <c r="F23" i="5"/>
  <c r="F26" i="5"/>
  <c r="F22" i="5"/>
  <c r="B24" i="5"/>
  <c r="H21" i="5"/>
  <c r="K21" i="5"/>
  <c r="L21" i="5"/>
  <c r="B34" i="5"/>
  <c r="B23" i="5"/>
  <c r="D21" i="5"/>
  <c r="B25" i="5"/>
  <c r="D15" i="6"/>
  <c r="H15" i="6"/>
  <c r="J15" i="6"/>
  <c r="K15" i="6"/>
  <c r="B16" i="6"/>
  <c r="H20" i="5"/>
  <c r="K20" i="5"/>
  <c r="L20" i="5"/>
  <c r="M19" i="5"/>
  <c r="F33" i="5"/>
  <c r="Q45" i="5"/>
  <c r="B31" i="5"/>
  <c r="H33" i="5"/>
  <c r="J33" i="5"/>
  <c r="K33" i="5"/>
  <c r="B22" i="5"/>
  <c r="J23" i="5"/>
  <c r="I33" i="5"/>
  <c r="D20" i="5"/>
  <c r="J20" i="5"/>
  <c r="E15" i="6"/>
  <c r="P36" i="5"/>
  <c r="J24" i="5"/>
  <c r="P31" i="5"/>
  <c r="Q33" i="5"/>
  <c r="H13" i="6"/>
  <c r="J13" i="6"/>
  <c r="K13" i="6"/>
  <c r="P34" i="5"/>
  <c r="J18" i="5"/>
  <c r="P27" i="6"/>
  <c r="J25" i="5"/>
  <c r="Q17" i="6"/>
  <c r="J22" i="5"/>
  <c r="P17" i="6"/>
  <c r="P27" i="10"/>
  <c r="L33" i="5"/>
  <c r="R45" i="5"/>
  <c r="S45" i="5"/>
  <c r="R26" i="6"/>
  <c r="S26" i="6"/>
  <c r="L13" i="6"/>
  <c r="D31" i="5"/>
  <c r="D16" i="6"/>
  <c r="F16" i="6"/>
  <c r="Q28" i="6"/>
  <c r="B17" i="6"/>
  <c r="H16" i="6"/>
  <c r="J16" i="6"/>
  <c r="K16" i="6"/>
  <c r="F15" i="6"/>
  <c r="Q27" i="6"/>
  <c r="I35" i="5"/>
  <c r="I36" i="5"/>
  <c r="I31" i="5"/>
  <c r="I34" i="5"/>
  <c r="G21" i="5"/>
  <c r="E36" i="5"/>
  <c r="E34" i="5"/>
  <c r="E35" i="5"/>
  <c r="E31" i="5"/>
  <c r="R27" i="6"/>
  <c r="G20" i="5"/>
  <c r="M20" i="5"/>
  <c r="H25" i="5"/>
  <c r="K25" i="5"/>
  <c r="L25" i="5"/>
  <c r="M25" i="5"/>
  <c r="B36" i="5"/>
  <c r="D25" i="5"/>
  <c r="G25" i="5"/>
  <c r="H23" i="5"/>
  <c r="K23" i="5"/>
  <c r="L23" i="5"/>
  <c r="M23" i="5"/>
  <c r="D23" i="5"/>
  <c r="G23" i="5"/>
  <c r="M21" i="5"/>
  <c r="D24" i="5"/>
  <c r="G24" i="5"/>
  <c r="B35" i="5"/>
  <c r="H24" i="5"/>
  <c r="K24" i="5"/>
  <c r="L24" i="5"/>
  <c r="M24" i="5"/>
  <c r="D22" i="5"/>
  <c r="G22" i="5"/>
  <c r="B26" i="5"/>
  <c r="H22" i="5"/>
  <c r="K22" i="5"/>
  <c r="L22" i="5"/>
  <c r="M22" i="5"/>
  <c r="H34" i="5"/>
  <c r="J34" i="5"/>
  <c r="K34" i="5"/>
  <c r="D34" i="5"/>
  <c r="F34" i="5"/>
  <c r="Q46" i="5"/>
  <c r="C16" i="10"/>
  <c r="L16" i="6"/>
  <c r="N16" i="6"/>
  <c r="R28" i="6"/>
  <c r="S28" i="6"/>
  <c r="L15" i="6"/>
  <c r="N15" i="6"/>
  <c r="B18" i="6"/>
  <c r="D17" i="6"/>
  <c r="F17" i="6"/>
  <c r="Q29" i="6"/>
  <c r="H17" i="6"/>
  <c r="J17" i="6"/>
  <c r="K17" i="6"/>
  <c r="R46" i="5"/>
  <c r="S46" i="5"/>
  <c r="L34" i="5"/>
  <c r="D26" i="5"/>
  <c r="G26" i="5"/>
  <c r="H26" i="5"/>
  <c r="K26" i="5"/>
  <c r="L26" i="5"/>
  <c r="M26" i="5"/>
  <c r="S27" i="6"/>
  <c r="H35" i="5"/>
  <c r="J35" i="5"/>
  <c r="K35" i="5"/>
  <c r="D35" i="5"/>
  <c r="F35" i="5"/>
  <c r="Q47" i="5"/>
  <c r="F31" i="5"/>
  <c r="Q44" i="5"/>
  <c r="H31" i="5"/>
  <c r="J31" i="5"/>
  <c r="K31" i="5"/>
  <c r="D36" i="5"/>
  <c r="F36" i="5"/>
  <c r="Q48" i="5"/>
  <c r="H36" i="5"/>
  <c r="J36" i="5"/>
  <c r="K36" i="5"/>
  <c r="H14" i="10"/>
  <c r="J14" i="10"/>
  <c r="K14" i="10"/>
  <c r="Q27" i="10"/>
  <c r="D16" i="10"/>
  <c r="G16" i="10"/>
  <c r="P28" i="10"/>
  <c r="C17" i="10"/>
  <c r="R47" i="5"/>
  <c r="S47" i="5"/>
  <c r="L35" i="5"/>
  <c r="D18" i="6"/>
  <c r="F18" i="6"/>
  <c r="Q30" i="6"/>
  <c r="H18" i="6"/>
  <c r="J18" i="6"/>
  <c r="K18" i="6"/>
  <c r="L36" i="5"/>
  <c r="R48" i="5"/>
  <c r="S48" i="5"/>
  <c r="L17" i="6"/>
  <c r="R29" i="6"/>
  <c r="S29" i="6"/>
  <c r="L31" i="5"/>
  <c r="N33" i="5"/>
  <c r="R44" i="5"/>
  <c r="S44" i="5"/>
  <c r="I16" i="10"/>
  <c r="Q16" i="10"/>
  <c r="E16" i="10"/>
  <c r="F16" i="10"/>
  <c r="Q28" i="10"/>
  <c r="L14" i="10"/>
  <c r="R27" i="10"/>
  <c r="S27" i="10"/>
  <c r="H16" i="10"/>
  <c r="P16" i="10"/>
  <c r="C18" i="10"/>
  <c r="G17" i="10"/>
  <c r="P29" i="10"/>
  <c r="D17" i="10"/>
  <c r="P17" i="10"/>
  <c r="Z17" i="6"/>
  <c r="AA17" i="6"/>
  <c r="N17" i="6"/>
  <c r="N35" i="5"/>
  <c r="Z35" i="5"/>
  <c r="AA35" i="5"/>
  <c r="N34" i="5"/>
  <c r="J16" i="10"/>
  <c r="K16" i="10"/>
  <c r="R28" i="10"/>
  <c r="S28" i="10"/>
  <c r="N36" i="5"/>
  <c r="R30" i="6"/>
  <c r="S30" i="6"/>
  <c r="L18" i="6"/>
  <c r="N18" i="6"/>
  <c r="Q17" i="10"/>
  <c r="E17" i="10"/>
  <c r="F17" i="10"/>
  <c r="Q29" i="10"/>
  <c r="H17" i="10"/>
  <c r="C19" i="10"/>
  <c r="D18" i="10"/>
  <c r="G18" i="10"/>
  <c r="P30" i="10"/>
  <c r="I17" i="10"/>
  <c r="L16" i="10"/>
  <c r="N16" i="10"/>
  <c r="J17" i="10"/>
  <c r="K17" i="10"/>
  <c r="R29" i="10"/>
  <c r="S29" i="10"/>
  <c r="H18" i="10"/>
  <c r="P18" i="10"/>
  <c r="G19" i="10"/>
  <c r="P31" i="10"/>
  <c r="D19" i="10"/>
  <c r="Q18" i="10"/>
  <c r="E18" i="10"/>
  <c r="F18" i="10"/>
  <c r="Q30" i="10"/>
  <c r="I18" i="10"/>
  <c r="P19" i="10"/>
  <c r="L17" i="10"/>
  <c r="N17" i="10"/>
  <c r="Q19" i="10"/>
  <c r="I19" i="10"/>
  <c r="E19" i="10"/>
  <c r="F19" i="10"/>
  <c r="Q31" i="10"/>
  <c r="H19" i="10"/>
  <c r="J18" i="10"/>
  <c r="K18" i="10"/>
  <c r="J19" i="10"/>
  <c r="K19" i="10"/>
  <c r="L19" i="10"/>
  <c r="N19" i="10"/>
  <c r="R30" i="10"/>
  <c r="S30" i="10"/>
  <c r="L18" i="10"/>
  <c r="R31" i="10"/>
  <c r="S31" i="10"/>
  <c r="N18" i="10"/>
  <c r="Z18" i="10"/>
  <c r="AA18" i="10"/>
</calcChain>
</file>

<file path=xl/sharedStrings.xml><?xml version="1.0" encoding="utf-8"?>
<sst xmlns="http://schemas.openxmlformats.org/spreadsheetml/2006/main" count="292" uniqueCount="129">
  <si>
    <t>Investment Total</t>
  </si>
  <si>
    <t>Tons of Asphalt</t>
  </si>
  <si>
    <t>-</t>
  </si>
  <si>
    <t>Asphalt 
Unit Price ($)</t>
  </si>
  <si>
    <t>Expenditures on 
Concrete ($)</t>
  </si>
  <si>
    <t>Expenditures on 
Asphalt ($)</t>
  </si>
  <si>
    <t>Concrete Market 
Share</t>
  </si>
  <si>
    <t>Total</t>
  </si>
  <si>
    <t>Asphalt Price Decrease (%)</t>
  </si>
  <si>
    <t>Concrete Price Decrease (%)</t>
  </si>
  <si>
    <t>Concrete 
Unit Price ($/CY)</t>
  </si>
  <si>
    <t>Cubic Yards Concrete</t>
  </si>
  <si>
    <t>AC</t>
  </si>
  <si>
    <t>PCC</t>
  </si>
  <si>
    <t>Tons of Concrete</t>
  </si>
  <si>
    <t>Tons of Paving Materials</t>
  </si>
  <si>
    <t>lbs/cy</t>
  </si>
  <si>
    <t>AC Reduce</t>
  </si>
  <si>
    <t>PCC reduce</t>
  </si>
  <si>
    <t>Asphalt 
Unit Price ($/ton)</t>
  </si>
  <si>
    <t>Budget 
($ Million)</t>
  </si>
  <si>
    <t>% Spent on Aspahlt</t>
  </si>
  <si>
    <t>Asphalt Expenditures 
($ Million)</t>
  </si>
  <si>
    <t>% Spent on Concrete</t>
  </si>
  <si>
    <t>Concrete Expenditures
($ Million)</t>
  </si>
  <si>
    <t>Tons of Concrete*</t>
  </si>
  <si>
    <t>Concrete Tons</t>
  </si>
  <si>
    <t>Asphalt Tons</t>
  </si>
  <si>
    <t>Unit Wt</t>
  </si>
  <si>
    <t>Reduction Per MIT Model/Graph Points</t>
  </si>
  <si>
    <t>PCC MS</t>
  </si>
  <si>
    <t xml:space="preserve"> +2 is JM Guess</t>
  </si>
  <si>
    <t xml:space="preserve">  (- impact as going from 5% to 10%))</t>
  </si>
  <si>
    <t>For Graphing Purposes</t>
  </si>
  <si>
    <t>AC Reduction by Eqn</t>
  </si>
  <si>
    <t>PCC Reduction by Eqn</t>
  </si>
  <si>
    <t>State PCC Price</t>
  </si>
  <si>
    <t>State AC Price</t>
  </si>
  <si>
    <t>PCC Price at 5% MS</t>
  </si>
  <si>
    <t>AC Price at 5% MS</t>
  </si>
  <si>
    <t>Input thes Values</t>
  </si>
  <si>
    <t>State  PCC MS</t>
  </si>
  <si>
    <t>By Lookup table</t>
  </si>
  <si>
    <t>By equation</t>
  </si>
  <si>
    <t xml:space="preserve"> from OMAN</t>
  </si>
  <si>
    <t xml:space="preserve">Note - Chart X axis needs to be manually adjusted </t>
  </si>
  <si>
    <t>Impact of Competetion on Materials Volume (MIT)</t>
  </si>
  <si>
    <t>Change in materials</t>
  </si>
  <si>
    <t>Change this col for different MS</t>
  </si>
  <si>
    <t>Implied Volumes based on Current Market Share</t>
  </si>
  <si>
    <t>% increase from current</t>
  </si>
  <si>
    <t>Unit Cost Change Per Change of Dominant MS</t>
  </si>
  <si>
    <t>delta dominant MS</t>
  </si>
  <si>
    <t>AC Change</t>
  </si>
  <si>
    <t>PCC Change</t>
  </si>
  <si>
    <t xml:space="preserve">Note: </t>
  </si>
  <si>
    <t>(1). Cost change is determined by the change of market share for the dominant materials.</t>
  </si>
  <si>
    <t xml:space="preserve"> In most cases, asphalt materials are dominant. </t>
  </si>
  <si>
    <t xml:space="preserve">(2). Suppose current dominant material is AC. From the left table, when its market share </t>
  </si>
  <si>
    <t>Calculation Table</t>
  </si>
  <si>
    <t>for figures</t>
  </si>
  <si>
    <t>Grand Total</t>
  </si>
  <si>
    <t>AL</t>
  </si>
  <si>
    <t>AR</t>
  </si>
  <si>
    <t>AZ</t>
  </si>
  <si>
    <t>CA</t>
  </si>
  <si>
    <t>CO</t>
  </si>
  <si>
    <t>CT</t>
  </si>
  <si>
    <t>DE</t>
  </si>
  <si>
    <t>FL</t>
  </si>
  <si>
    <t>GA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</si>
  <si>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</si>
  <si>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</si>
  <si>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</si>
  <si>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</si>
  <si>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</si>
  <si>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</si>
  <si>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</si>
  <si>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</si>
  <si>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</si>
  <si>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</si>
  <si>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</si>
  <si>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</si>
  <si>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</si>
  <si>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</si>
  <si>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</si>
  <si>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</si>
  <si>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</si>
  <si>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</si>
  <si>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</si>
  <si>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</si>
  <si>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</si>
  <si>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</si>
  <si>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</si>
  <si>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</si>
  <si>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</si>
  <si>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</si>
  <si>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</si>
  <si>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</si>
  <si>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</si>
  <si>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</si>
  <si>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</si>
  <si>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</si>
  <si>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</si>
  <si>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</si>
  <si>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</si>
  <si>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</si>
  <si>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</si>
  <si>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</si>
  <si>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State</t>
  </si>
  <si>
    <t>state</t>
  </si>
  <si>
    <t>Impact of Competition on Material Costs</t>
  </si>
  <si>
    <t>MIT CSHub</t>
  </si>
  <si>
    <t>Current concrete market share</t>
  </si>
  <si>
    <t>Average</t>
  </si>
  <si>
    <t>Impact of Competition on Material Mass - Manual Entry</t>
  </si>
  <si>
    <t>Impact of Competition on Material Mass - By State</t>
  </si>
  <si>
    <t>Change values in light blue cells</t>
  </si>
  <si>
    <t>State PCC Cost ($/CY)</t>
  </si>
  <si>
    <t>State AC Cost ($/ton)</t>
  </si>
  <si>
    <t>Asphalt 
Unit Cost ($/ton)</t>
  </si>
  <si>
    <t>Concrete 
Unit Cost ($/CY)</t>
  </si>
  <si>
    <t xml:space="preserve"> decreases 5% (i.e. concrete increases 5%), then AC cost will decrease 2%, and PCC cost decreases 7%. </t>
  </si>
  <si>
    <t>Paving Budget ($M)</t>
  </si>
  <si>
    <t xml:space="preserve">Comment: </t>
  </si>
  <si>
    <t>(1). Data from 2005 to 2014 are based on MIT Oman Data</t>
  </si>
  <si>
    <t>(2). Data from 2015 to 2018 are based on PCA Oman Data</t>
  </si>
  <si>
    <t>v1.4: 1/20/21</t>
  </si>
  <si>
    <t>Input these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</si>
</sst>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1"/>
      <name val="Times New Roman"/>
      <family val="1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000080"/>
      </left>
      <right style="medium">
        <color rgb="FF000080"/>
      </right>
      <top style="medium">
        <color rgb="FF000080"/>
      </top>
      <bottom/>
      <diagonal/>
    </border>
    <border>
      <left/>
      <right style="medium">
        <color rgb="FF000080"/>
      </right>
      <top style="medium">
        <color rgb="FF00008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16" fillId="5" borderId="0" applyNumberFormat="0" applyBorder="0" applyAlignment="0" applyProtection="0"/>
  </cellStyleXfs>
  <cellXfs count="119">
    <xf numFmtId="0" fontId="0" fillId="0" borderId="0" xfId="0"/>
    <xf numFmtId="6" fontId="1" fillId="0" borderId="0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6" fontId="1" fillId="0" borderId="0" xfId="0" applyNumberFormat="1" applyFont="1" applyBorder="1" applyAlignment="1">
      <alignment horizontal="center" vertical="center" wrapText="1"/>
    </xf>
    <xf numFmtId="8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0" borderId="0" xfId="0" applyNumberFormat="1"/>
    <xf numFmtId="0" fontId="2" fillId="2" borderId="0" xfId="0" applyFont="1" applyFill="1" applyBorder="1" applyAlignment="1">
      <alignment horizontal="center" vertical="center" wrapText="1"/>
    </xf>
    <xf numFmtId="6" fontId="6" fillId="0" borderId="0" xfId="0" applyNumberFormat="1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6" fontId="6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6" fontId="1" fillId="3" borderId="0" xfId="0" applyNumberFormat="1" applyFont="1" applyFill="1" applyBorder="1" applyAlignment="1">
      <alignment horizontal="center" vertical="center"/>
    </xf>
    <xf numFmtId="0" fontId="5" fillId="0" borderId="0" xfId="0" applyFont="1"/>
    <xf numFmtId="6" fontId="3" fillId="0" borderId="0" xfId="0" applyNumberFormat="1" applyFont="1" applyBorder="1" applyAlignment="1">
      <alignment horizontal="center" vertical="center"/>
    </xf>
    <xf numFmtId="6" fontId="3" fillId="0" borderId="0" xfId="0" applyNumberFormat="1" applyFont="1" applyBorder="1" applyAlignment="1">
      <alignment horizontal="center" vertical="center" wrapText="1"/>
    </xf>
    <xf numFmtId="8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8" fontId="7" fillId="0" borderId="0" xfId="0" applyNumberFormat="1" applyFont="1" applyBorder="1" applyAlignment="1">
      <alignment horizontal="center" vertical="center"/>
    </xf>
    <xf numFmtId="165" fontId="1" fillId="0" borderId="0" xfId="3" applyNumberFormat="1" applyFont="1" applyBorder="1" applyAlignment="1">
      <alignment horizontal="center" vertical="center" wrapText="1"/>
    </xf>
    <xf numFmtId="165" fontId="6" fillId="0" borderId="0" xfId="3" applyNumberFormat="1" applyFont="1" applyBorder="1" applyAlignment="1">
      <alignment horizontal="center" vertical="center" wrapText="1"/>
    </xf>
    <xf numFmtId="165" fontId="3" fillId="0" borderId="0" xfId="3" applyNumberFormat="1" applyFont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6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9" fontId="9" fillId="0" borderId="0" xfId="3" applyFont="1" applyAlignment="1">
      <alignment horizontal="center"/>
    </xf>
    <xf numFmtId="0" fontId="5" fillId="0" borderId="0" xfId="0" applyFont="1" applyAlignment="1">
      <alignment horizontal="centerContinuous"/>
    </xf>
    <xf numFmtId="10" fontId="0" fillId="0" borderId="0" xfId="3" applyNumberFormat="1" applyFont="1"/>
    <xf numFmtId="6" fontId="10" fillId="0" borderId="0" xfId="0" applyNumberFormat="1" applyFont="1" applyBorder="1" applyAlignment="1">
      <alignment horizontal="center" vertical="center"/>
    </xf>
    <xf numFmtId="9" fontId="10" fillId="0" borderId="0" xfId="0" applyNumberFormat="1" applyFont="1" applyBorder="1" applyAlignment="1">
      <alignment horizontal="center" vertical="center"/>
    </xf>
    <xf numFmtId="6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/>
    </xf>
    <xf numFmtId="165" fontId="10" fillId="0" borderId="0" xfId="3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6" fontId="5" fillId="0" borderId="0" xfId="0" applyNumberFormat="1" applyFont="1"/>
    <xf numFmtId="8" fontId="5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 vertical="center" wrapText="1"/>
    </xf>
    <xf numFmtId="10" fontId="0" fillId="0" borderId="0" xfId="3" applyNumberFormat="1" applyFont="1" applyFill="1" applyBorder="1" applyAlignment="1">
      <alignment horizontal="center"/>
    </xf>
    <xf numFmtId="8" fontId="9" fillId="0" borderId="0" xfId="0" applyNumberFormat="1" applyFont="1" applyBorder="1" applyAlignment="1">
      <alignment horizontal="center"/>
    </xf>
    <xf numFmtId="0" fontId="9" fillId="0" borderId="0" xfId="0" applyFont="1"/>
    <xf numFmtId="0" fontId="12" fillId="0" borderId="0" xfId="0" applyFont="1"/>
    <xf numFmtId="0" fontId="0" fillId="0" borderId="6" xfId="0" applyBorder="1" applyAlignment="1">
      <alignment horizontal="right"/>
    </xf>
    <xf numFmtId="10" fontId="0" fillId="0" borderId="7" xfId="0" applyNumberFormat="1" applyBorder="1"/>
    <xf numFmtId="0" fontId="0" fillId="0" borderId="8" xfId="0" applyBorder="1" applyAlignment="1">
      <alignment horizontal="right"/>
    </xf>
    <xf numFmtId="166" fontId="0" fillId="0" borderId="9" xfId="2" applyNumberFormat="1" applyFont="1" applyBorder="1"/>
    <xf numFmtId="0" fontId="0" fillId="0" borderId="10" xfId="0" applyBorder="1" applyAlignment="1">
      <alignment horizontal="right"/>
    </xf>
    <xf numFmtId="8" fontId="0" fillId="0" borderId="11" xfId="0" applyNumberFormat="1" applyBorder="1"/>
    <xf numFmtId="0" fontId="9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0" fontId="0" fillId="3" borderId="0" xfId="0" applyNumberFormat="1" applyFill="1" applyBorder="1" applyAlignment="1">
      <alignment horizontal="center"/>
    </xf>
    <xf numFmtId="9" fontId="0" fillId="0" borderId="0" xfId="0" applyNumberFormat="1"/>
    <xf numFmtId="0" fontId="9" fillId="0" borderId="0" xfId="0" applyFont="1" applyAlignment="1">
      <alignment horizontal="right"/>
    </xf>
    <xf numFmtId="8" fontId="9" fillId="0" borderId="0" xfId="0" applyNumberFormat="1" applyFont="1" applyAlignment="1">
      <alignment horizontal="right"/>
    </xf>
    <xf numFmtId="9" fontId="4" fillId="0" borderId="0" xfId="3" applyFont="1" applyAlignment="1">
      <alignment horizontal="center"/>
    </xf>
    <xf numFmtId="8" fontId="0" fillId="0" borderId="0" xfId="0" applyNumberFormat="1" applyFont="1" applyBorder="1" applyAlignment="1">
      <alignment horizontal="center"/>
    </xf>
    <xf numFmtId="166" fontId="0" fillId="0" borderId="0" xfId="2" applyNumberFormat="1" applyFont="1" applyBorder="1"/>
    <xf numFmtId="0" fontId="0" fillId="0" borderId="0" xfId="0" applyBorder="1" applyAlignment="1">
      <alignment horizontal="right"/>
    </xf>
    <xf numFmtId="10" fontId="0" fillId="0" borderId="0" xfId="0" applyNumberFormat="1" applyBorder="1"/>
    <xf numFmtId="8" fontId="0" fillId="0" borderId="0" xfId="0" applyNumberFormat="1" applyBorder="1"/>
    <xf numFmtId="0" fontId="13" fillId="0" borderId="0" xfId="0" applyFont="1"/>
    <xf numFmtId="0" fontId="4" fillId="4" borderId="0" xfId="4"/>
    <xf numFmtId="9" fontId="0" fillId="0" borderId="0" xfId="0" applyNumberFormat="1" applyFont="1" applyAlignment="1">
      <alignment horizontal="center"/>
    </xf>
    <xf numFmtId="9" fontId="4" fillId="0" borderId="0" xfId="3" applyNumberFormat="1" applyFont="1" applyAlignment="1">
      <alignment horizontal="center"/>
    </xf>
    <xf numFmtId="0" fontId="14" fillId="0" borderId="0" xfId="0" applyFont="1"/>
    <xf numFmtId="9" fontId="14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Continuous"/>
    </xf>
    <xf numFmtId="0" fontId="14" fillId="0" borderId="0" xfId="0" applyFont="1" applyAlignment="1">
      <alignment horizontal="center"/>
    </xf>
    <xf numFmtId="10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9" fontId="14" fillId="0" borderId="0" xfId="0" applyNumberFormat="1" applyFont="1" applyAlignment="1">
      <alignment horizontal="center"/>
    </xf>
    <xf numFmtId="2" fontId="0" fillId="0" borderId="0" xfId="0" applyNumberFormat="1"/>
    <xf numFmtId="0" fontId="5" fillId="4" borderId="0" xfId="4" applyFont="1"/>
    <xf numFmtId="0" fontId="16" fillId="5" borderId="0" xfId="5"/>
    <xf numFmtId="165" fontId="0" fillId="0" borderId="0" xfId="0" applyNumberFormat="1"/>
    <xf numFmtId="9" fontId="0" fillId="6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/>
    <xf numFmtId="0" fontId="17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6" fontId="0" fillId="0" borderId="0" xfId="0" applyNumberFormat="1" applyFont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9" fontId="0" fillId="0" borderId="0" xfId="0" applyNumberFormat="1" applyFont="1" applyFill="1" applyBorder="1" applyAlignment="1">
      <alignment horizontal="center"/>
    </xf>
    <xf numFmtId="9" fontId="0" fillId="4" borderId="0" xfId="4" applyNumberFormat="1" applyFont="1" applyBorder="1" applyAlignment="1">
      <alignment horizontal="center"/>
    </xf>
    <xf numFmtId="6" fontId="0" fillId="0" borderId="4" xfId="0" applyNumberFormat="1" applyFont="1" applyBorder="1" applyAlignment="1">
      <alignment horizontal="center"/>
    </xf>
    <xf numFmtId="9" fontId="0" fillId="4" borderId="4" xfId="4" applyNumberFormat="1" applyFont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9" fontId="0" fillId="0" borderId="4" xfId="0" applyNumberFormat="1" applyFont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165" fontId="4" fillId="4" borderId="0" xfId="4" applyNumberFormat="1"/>
    <xf numFmtId="166" fontId="4" fillId="4" borderId="0" xfId="4" applyNumberFormat="1"/>
    <xf numFmtId="165" fontId="4" fillId="0" borderId="0" xfId="4" applyNumberFormat="1" applyFill="1"/>
    <xf numFmtId="166" fontId="4" fillId="0" borderId="0" xfId="4" applyNumberFormat="1" applyFill="1"/>
    <xf numFmtId="9" fontId="0" fillId="0" borderId="0" xfId="4" applyNumberFormat="1" applyFont="1" applyFill="1" applyBorder="1" applyAlignment="1">
      <alignment horizontal="center"/>
    </xf>
    <xf numFmtId="9" fontId="0" fillId="0" borderId="4" xfId="4" applyNumberFormat="1" applyFont="1" applyFill="1" applyBorder="1" applyAlignment="1">
      <alignment horizontal="center"/>
    </xf>
    <xf numFmtId="10" fontId="0" fillId="0" borderId="0" xfId="0" applyNumberFormat="1"/>
    <xf numFmtId="4" fontId="0" fillId="0" borderId="0" xfId="0" applyNumberFormat="1"/>
    <xf numFmtId="0" fontId="5" fillId="0" borderId="5" xfId="0" applyFont="1" applyBorder="1" applyAlignment="1">
      <alignment horizontal="center"/>
    </xf>
  </cellXfs>
  <cellStyles count="6">
    <cellStyle name="20% - Accent1" xfId="4" builtinId="30"/>
    <cellStyle name="Accent1" xfId="5" builtinId="29"/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7311092206512"/>
          <c:y val="0.22664052747368343"/>
          <c:w val="0.66760705643325791"/>
          <c:h val="0.63660782745831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'Material Cost Impact'!$C$6</c:f>
              <c:strCache>
                <c:ptCount val="1"/>
                <c:pt idx="0">
                  <c:v>AC Change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'Material Cost Impact'!$A$10:$A$14</c:f>
              <c:numCache>
                <c:formatCode>0%</c:formatCode>
                <c:ptCount val="5"/>
                <c:pt idx="0">
                  <c:v>0.15000000000000002</c:v>
                </c:pt>
                <c:pt idx="1">
                  <c:v>0.2</c:v>
                </c:pt>
                <c:pt idx="2">
                  <c:v>0.25</c:v>
                </c:pt>
                <c:pt idx="3">
                  <c:v>0.30000000000000004</c:v>
                </c:pt>
                <c:pt idx="4">
                  <c:v>0.35</c:v>
                </c:pt>
              </c:numCache>
            </c:numRef>
          </c:cat>
          <c:val>
            <c:numRef>
              <c:f>'Material Cost Impact'!$C$10:$C$14</c:f>
              <c:numCache>
                <c:formatCode>0%</c:formatCode>
                <c:ptCount val="5"/>
                <c:pt idx="0">
                  <c:v>-1.6856315365090357E-2</c:v>
                </c:pt>
                <c:pt idx="1">
                  <c:v>-3.3428495362493371E-2</c:v>
                </c:pt>
                <c:pt idx="2">
                  <c:v>-4.9721329467573017E-2</c:v>
                </c:pt>
                <c:pt idx="3">
                  <c:v>-6.5739526422786465E-2</c:v>
                </c:pt>
                <c:pt idx="4">
                  <c:v>-8.148771559854262E-2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5-426E-8BD3-E0547EC7C534}"/>
            </c:ext>
          </c:extLst>
        </c:ser>
        <c:ser>
          <c:idx val="1"/>
          <c:order val="1"/>
          <c:tx>
            <c:strRef>
              <c:f>'Material Cost Impact'!$D$6</c:f>
              <c:strCache>
                <c:ptCount val="1"/>
                <c:pt idx="0">
                  <c:v>PCC Change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'Material Cost Impact'!$A$10:$A$14</c:f>
              <c:numCache>
                <c:formatCode>0%</c:formatCode>
                <c:ptCount val="5"/>
                <c:pt idx="0">
                  <c:v>0.15000000000000002</c:v>
                </c:pt>
                <c:pt idx="1">
                  <c:v>0.2</c:v>
                </c:pt>
                <c:pt idx="2">
                  <c:v>0.25</c:v>
                </c:pt>
                <c:pt idx="3">
                  <c:v>0.30000000000000004</c:v>
                </c:pt>
                <c:pt idx="4">
                  <c:v>0.35</c:v>
                </c:pt>
              </c:numCache>
            </c:numRef>
          </c:cat>
          <c:val>
            <c:numRef>
              <c:f>'Material Cost Impact'!$D$10:$D$14</c:f>
              <c:numCache>
                <c:formatCode>0%</c:formatCode>
                <c:ptCount val="5"/>
                <c:pt idx="0">
                  <c:v>-6.7139866615444022E-2</c:v>
                </c:pt>
                <c:pt idx="1">
                  <c:v>-0.12977197154174835</c:v>
                </c:pt>
                <c:pt idx="2">
                  <c:v>-0.18819896529745628</c:v>
                </c:pt>
                <c:pt idx="3">
                  <c:v>-0.24270317848566447</c:v>
                </c:pt>
                <c:pt idx="4">
                  <c:v>-0.29354798607043664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5-426E-8BD3-E0547EC7C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9609471"/>
        <c:axId val="1249621119"/>
      </c:barChart>
      <c:catAx>
        <c:axId val="12496094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Increasing</a:t>
                </a:r>
                <a:r>
                  <a:rPr lang="en-US" sz="1200" baseline="0"/>
                  <a:t> the state level of spending on concrete to this...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22714173586528211"/>
              <c:y val="2.80407054381360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49621119"/>
        <c:crosses val="autoZero"/>
        <c:auto val="1"/>
        <c:lblAlgn val="ctr"/>
        <c:lblOffset val="100"/>
        <c:noMultiLvlLbl val="0"/>
      </c:catAx>
      <c:valAx>
        <c:axId val="124962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...decreases paving costs by this much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49609471"/>
        <c:crosses val="autoZero"/>
        <c:crossBetween val="between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316553506989571E-2"/>
          <c:y val="1.6525475218367978E-2"/>
          <c:w val="0.86409111148280204"/>
          <c:h val="0.7192362314516933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'MIT Compition Impact (2)'!$Q$43</c:f>
              <c:strCache>
                <c:ptCount val="1"/>
                <c:pt idx="0">
                  <c:v>Asphalt Tons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'MIT Compition Impact (2)'!$P$44:$P$48</c:f>
              <c:strCache>
                <c:ptCount val="5"/>
                <c:pt idx="0">
                  <c:v>Current 12.2%</c:v>
                </c:pt>
                <c:pt idx="1">
                  <c:v>5%</c:v>
                </c:pt>
                <c:pt idx="2">
                  <c:v>15%</c:v>
                </c:pt>
                <c:pt idx="3">
                  <c:v>25%</c:v>
                </c:pt>
                <c:pt idx="4">
                  <c:v>35%</c:v>
                </c:pt>
              </c:strCache>
            </c:strRef>
          </c:cat>
          <c:val>
            <c:numRef>
              <c:f>'MIT Compition Impact (2)'!$Q$44:$Q$48</c:f>
              <c:numCache>
                <c:formatCode>#,##0</c:formatCode>
                <c:ptCount val="5"/>
                <c:pt idx="0">
                  <c:v>405970.89998401253</c:v>
                </c:pt>
                <c:pt idx="1">
                  <c:v>426305.26567298739</c:v>
                </c:pt>
                <c:pt idx="2">
                  <c:v>397574.54143610713</c:v>
                </c:pt>
                <c:pt idx="3">
                  <c:v>365931.97824262752</c:v>
                </c:pt>
                <c:pt idx="4">
                  <c:v>331436.72861049266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5-44AE-A545-2A82A6666ECE}"/>
            </c:ext>
          </c:extLst>
        </c:ser>
        <c:ser>
          <c:idx val="1"/>
          <c:order val="1"/>
          <c:tx>
            <c:strRef>
              <c:f>'MIT Compition Impact (2)'!$R$43</c:f>
              <c:strCache>
                <c:ptCount val="1"/>
                <c:pt idx="0">
                  <c:v>Concrete Tons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'MIT Compition Impact (2)'!$P$44:$P$48</c:f>
              <c:strCache>
                <c:ptCount val="5"/>
                <c:pt idx="0">
                  <c:v>Current 12.2%</c:v>
                </c:pt>
                <c:pt idx="1">
                  <c:v>5%</c:v>
                </c:pt>
                <c:pt idx="2">
                  <c:v>15%</c:v>
                </c:pt>
                <c:pt idx="3">
                  <c:v>25%</c:v>
                </c:pt>
                <c:pt idx="4">
                  <c:v>35%</c:v>
                </c:pt>
              </c:strCache>
            </c:strRef>
          </c:cat>
          <c:val>
            <c:numRef>
              <c:f>'MIT Compition Impact (2)'!$R$44:$R$48</c:f>
              <c:numCache>
                <c:formatCode>#,##0</c:formatCode>
                <c:ptCount val="5"/>
                <c:pt idx="0">
                  <c:v>42881.006206193008</c:v>
                </c:pt>
                <c:pt idx="1">
                  <c:v>16974.864572273833</c:v>
                </c:pt>
                <c:pt idx="2">
                  <c:v>53411.709992628239</c:v>
                </c:pt>
                <c:pt idx="3">
                  <c:v>93378.796777918062</c:v>
                </c:pt>
                <c:pt idx="4">
                  <c:v>137461.81175236063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15-44AE-A545-2A82A6666ECE}"/>
            </c:ext>
          </c:extLst>
        </c:ser>
        <c:ser>
          <c:idx val="2"/>
          <c:order val="2"/>
          <c:tx>
            <c:strRef>
              <c:f>'MIT Compition Impact (2)'!$S$43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'MIT Compition Impact (2)'!$P$44:$P$48</c:f>
              <c:strCache>
                <c:ptCount val="5"/>
                <c:pt idx="0">
                  <c:v>Current 12.2%</c:v>
                </c:pt>
                <c:pt idx="1">
                  <c:v>5%</c:v>
                </c:pt>
                <c:pt idx="2">
                  <c:v>15%</c:v>
                </c:pt>
                <c:pt idx="3">
                  <c:v>25%</c:v>
                </c:pt>
                <c:pt idx="4">
                  <c:v>35%</c:v>
                </c:pt>
              </c:strCache>
            </c:strRef>
          </c:cat>
          <c:val>
            <c:numRef>
              <c:f>'MIT Compition Impact (2)'!$S$44:$S$48</c:f>
              <c:numCache>
                <c:formatCode>#,##0</c:formatCode>
                <c:ptCount val="5"/>
                <c:pt idx="0">
                  <c:v>448851.90619020554</c:v>
                </c:pt>
                <c:pt idx="1">
                  <c:v>443280.13024526124</c:v>
                </c:pt>
                <c:pt idx="2">
                  <c:v>450986.25142873538</c:v>
                </c:pt>
                <c:pt idx="3">
                  <c:v>459310.77502054558</c:v>
                </c:pt>
                <c:pt idx="4">
                  <c:v>468898.54036285332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15-44AE-A545-2A82A6666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91355184"/>
        <c:axId val="791352560"/>
      </c:barChart>
      <c:catAx>
        <c:axId val="79135518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% Spent on Concrete</a:t>
                </a:r>
              </a:p>
            </c:rich>
          </c:tx>
          <c:layout>
            <c:manualLayout>
              <c:xMode val="edge"/>
              <c:yMode val="edge"/>
              <c:x val="6.5485848957168762E-3"/>
              <c:y val="0.18243279849235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52560"/>
        <c:crosses val="autoZero"/>
        <c:auto val="1"/>
        <c:lblAlgn val="ctr"/>
        <c:lblOffset val="100"/>
        <c:noMultiLvlLbl val="0"/>
      </c:catAx>
      <c:valAx>
        <c:axId val="791352560"/>
        <c:scaling>
          <c:orientation val="minMax"/>
          <c:max val="55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Tons of Paving Material (1,000s)</a:t>
                </a:r>
              </a:p>
            </c:rich>
          </c:tx>
          <c:layout>
            <c:manualLayout>
              <c:xMode val="edge"/>
              <c:yMode val="edge"/>
              <c:x val="0.29155774278215224"/>
              <c:y val="0.90414472407307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55184"/>
        <c:crosses val="max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87366606854735274"/>
          <c:y val="0.11040849584792932"/>
          <c:w val="0.12429380994162303"/>
          <c:h val="0.2261631332658571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Price</a:t>
            </a:r>
            <a:r>
              <a:rPr lang="en-US" baseline="0"/>
              <a:t> Change vs Market Share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553368328958893E-2"/>
          <c:y val="0.16708333333333336"/>
          <c:w val="0.87733552055993003"/>
          <c:h val="0.67145778652668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'MIT Compition Impact (2)'!$C$4</c:f>
              <c:strCache>
                <c:ptCount val="1"/>
                <c:pt idx="0">
                  <c:v>AC Reduce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4768591426071742E-2"/>
                  <c:y val="-0.178777340332458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'MIT Compition Impact (2)'!$B$5:$B$13</c:f>
              <c:numCache>
                <c:formatCode>0%</c:formatCode>
                <c:ptCount val="9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</c:numCache>
            </c:numRef>
          </c:xVal>
          <c:yVal>
            <c:numRef>
              <c:f>'MIT Compition Impact (2)'!$C$5:$C$13</c:f>
              <c:numCache>
                <c:formatCode>General</c:formatCode>
                <c:ptCount val="9"/>
                <c:pt idx="0" formatCode="0%">
                  <c:v>0.02</c:v>
                </c:pt>
                <c:pt idx="1">
                  <c:v>0</c:v>
                </c:pt>
                <c:pt idx="2" formatCode="0.00%">
                  <c:v>-2.1000000000000001E-2</c:v>
                </c:pt>
                <c:pt idx="3" formatCode="0.00%">
                  <c:v>-4.1599999999999998E-2</c:v>
                </c:pt>
                <c:pt idx="4" formatCode="0.00%">
                  <c:v>-6.1699999999999998E-2</c:v>
                </c:pt>
                <c:pt idx="5" formatCode="0.00%">
                  <c:v>-8.14E-2</c:v>
                </c:pt>
                <c:pt idx="6" formatCode="0.00%">
                  <c:v>-0.1007</c:v>
                </c:pt>
                <c:pt idx="7" formatCode="0.00%">
                  <c:v>-0.1196</c:v>
                </c:pt>
                <c:pt idx="8" formatCode="0.00%">
                  <c:v>-0.13800000000000001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0B-43A2-BFD5-12EA915CA1DE}"/>
            </c:ext>
          </c:extLst>
        </c:ser>
        <c:ser>
          <c:idx val="1"/>
          <c:order val="1"/>
          <c:tx>
            <c:strRef>
              <c:f>'MIT Compition Impact (2)'!$D$4</c:f>
              <c:strCache>
                <c:ptCount val="1"/>
                <c:pt idx="0">
                  <c:v>PCC reduce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0.1596758530183727"/>
                  <c:y val="-3.78105861767279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-0.0223x + 0.0425</a:t>
                    </a:r>
                    <a:br>
                      <a:rPr lang="en-US" baseline="0"/>
                    </a:br>
                    <a:r>
                      <a:rPr lang="en-US" baseline="0"/>
                      <a:t>R² = 0.9996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877537182852144"/>
                  <c:y val="-2.392169728783901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'MIT Compition Impact (2)'!$B$5:$B$13</c:f>
              <c:numCache>
                <c:formatCode>0%</c:formatCode>
                <c:ptCount val="9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</c:numCache>
            </c:numRef>
          </c:xVal>
          <c:yVal>
            <c:numRef>
              <c:f>'MIT Compition Impact (2)'!$D$5:$D$13</c:f>
              <c:numCache>
                <c:formatCode>General</c:formatCode>
                <c:ptCount val="9"/>
                <c:pt idx="0" formatCode="0%">
                  <c:v>0.02</c:v>
                </c:pt>
                <c:pt idx="1">
                  <c:v>0</c:v>
                </c:pt>
                <c:pt idx="2" formatCode="0.00%">
                  <c:v>-2.3900000000000001E-2</c:v>
                </c:pt>
                <c:pt idx="3" formatCode="0.00%">
                  <c:v>-4.7300000000000002E-2</c:v>
                </c:pt>
                <c:pt idx="4" formatCode="0.00%">
                  <c:v>-7.0099999999999996E-2</c:v>
                </c:pt>
                <c:pt idx="5" formatCode="0.00%">
                  <c:v>-9.2399999999999996E-2</c:v>
                </c:pt>
                <c:pt idx="6" formatCode="0.00%">
                  <c:v>-0.11409999999999999</c:v>
                </c:pt>
                <c:pt idx="7" formatCode="0.00%">
                  <c:v>-0.1353</c:v>
                </c:pt>
                <c:pt idx="8" formatCode="0.00%">
                  <c:v>-0.156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0B-43A2-BFD5-12EA915CA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967432"/>
        <c:axId val="640971696"/>
      </c:scatterChart>
      <c:valAx>
        <c:axId val="64096743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971696"/>
        <c:crosses val="autoZero"/>
        <c:crossBetween val="midCat"/>
      </c:valAx>
      <c:valAx>
        <c:axId val="64097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967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316553506989571E-2"/>
          <c:y val="1.6525475218367978E-2"/>
          <c:w val="0.86409111148280204"/>
          <c:h val="0.7192362314516933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'Material Mass Impact By State'!$Q$26</c:f>
              <c:strCache>
                <c:ptCount val="1"/>
                <c:pt idx="0">
                  <c:v>Asphalt Tons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'Material Mass Impact By State'!$P$27:$P$31</c:f>
              <c:strCache>
                <c:ptCount val="5"/>
                <c:pt idx="0">
                  <c:v>Current 12%</c:v>
                </c:pt>
                <c:pt idx="1">
                  <c:v>10%</c:v>
                </c:pt>
                <c:pt idx="2">
                  <c:v>15%</c:v>
                </c:pt>
                <c:pt idx="3">
                  <c:v>20%</c:v>
                </c:pt>
                <c:pt idx="4">
                  <c:v>25%</c:v>
                </c:pt>
              </c:strCache>
            </c:strRef>
          </c:cat>
          <c:val>
            <c:numRef>
              <c:f>'Material Mass Impact By State'!$Q$27:$Q$31</c:f>
              <c:numCache>
                <c:formatCode>#,##0</c:formatCode>
                <c:ptCount val="5"/>
                <c:pt idx="0">
                  <c:v>1134043.9962034735</c:v>
                </c:pt>
                <c:pt idx="1">
                  <c:v>1151575.4685956575</c:v>
                </c:pt>
                <c:pt idx="2">
                  <c:v>1106246.2900095389</c:v>
                </c:pt>
                <c:pt idx="3">
                  <c:v>1059024.2251509216</c:v>
                </c:pt>
                <c:pt idx="4">
                  <c:v>1009857.6907887864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0-4FE1-B9FE-311632EF99DF}"/>
            </c:ext>
          </c:extLst>
        </c:ser>
        <c:ser>
          <c:idx val="1"/>
          <c:order val="1"/>
          <c:tx>
            <c:strRef>
              <c:f>'Material Mass Impact By State'!$R$26</c:f>
              <c:strCache>
                <c:ptCount val="1"/>
                <c:pt idx="0">
                  <c:v>Concrete Tons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'Material Mass Impact By State'!$P$27:$P$31</c:f>
              <c:strCache>
                <c:ptCount val="5"/>
                <c:pt idx="0">
                  <c:v>Current 12%</c:v>
                </c:pt>
                <c:pt idx="1">
                  <c:v>10%</c:v>
                </c:pt>
                <c:pt idx="2">
                  <c:v>15%</c:v>
                </c:pt>
                <c:pt idx="3">
                  <c:v>20%</c:v>
                </c:pt>
                <c:pt idx="4">
                  <c:v>25%</c:v>
                </c:pt>
              </c:strCache>
            </c:strRef>
          </c:cat>
          <c:val>
            <c:numRef>
              <c:f>'Material Mass Impact By State'!$R$27:$R$31</c:f>
              <c:numCache>
                <c:formatCode>#,##0</c:formatCode>
                <c:ptCount val="5"/>
                <c:pt idx="0">
                  <c:v>162900.57226454417</c:v>
                </c:pt>
                <c:pt idx="1">
                  <c:v>132565.65560193872</c:v>
                </c:pt>
                <c:pt idx="2">
                  <c:v>213160.01862085806</c:v>
                </c:pt>
                <c:pt idx="3">
                  <c:v>304668.77936993138</c:v>
                </c:pt>
                <c:pt idx="4">
                  <c:v>408245.52425740892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0-4FE1-B9FE-311632EF99DF}"/>
            </c:ext>
          </c:extLst>
        </c:ser>
        <c:ser>
          <c:idx val="2"/>
          <c:order val="2"/>
          <c:tx>
            <c:strRef>
              <c:f>'Material Mass Impact By State'!$S$26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'Material Mass Impact By State'!$P$27:$P$31</c:f>
              <c:strCache>
                <c:ptCount val="5"/>
                <c:pt idx="0">
                  <c:v>Current 12%</c:v>
                </c:pt>
                <c:pt idx="1">
                  <c:v>10%</c:v>
                </c:pt>
                <c:pt idx="2">
                  <c:v>15%</c:v>
                </c:pt>
                <c:pt idx="3">
                  <c:v>20%</c:v>
                </c:pt>
                <c:pt idx="4">
                  <c:v>25%</c:v>
                </c:pt>
              </c:strCache>
            </c:strRef>
          </c:cat>
          <c:val>
            <c:numRef>
              <c:f>'Material Mass Impact By State'!$S$27:$S$31</c:f>
              <c:numCache>
                <c:formatCode>#,##0</c:formatCode>
                <c:ptCount val="5"/>
                <c:pt idx="0">
                  <c:v>1296944.5684680177</c:v>
                </c:pt>
                <c:pt idx="1">
                  <c:v>1284141.1241975962</c:v>
                </c:pt>
                <c:pt idx="2">
                  <c:v>1319406.3086303968</c:v>
                </c:pt>
                <c:pt idx="3">
                  <c:v>1363693.0045208531</c:v>
                </c:pt>
                <c:pt idx="4">
                  <c:v>1418103.2150461953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A0-4FE1-B9FE-311632EF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91355184"/>
        <c:axId val="791352560"/>
      </c:barChart>
      <c:catAx>
        <c:axId val="79135518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% Spent on Concrete</a:t>
                </a:r>
              </a:p>
            </c:rich>
          </c:tx>
          <c:layout>
            <c:manualLayout>
              <c:xMode val="edge"/>
              <c:yMode val="edge"/>
              <c:x val="6.5485848957168762E-3"/>
              <c:y val="0.18243279849235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52560"/>
        <c:crosses val="autoZero"/>
        <c:auto val="1"/>
        <c:lblAlgn val="ctr"/>
        <c:lblOffset val="100"/>
        <c:noMultiLvlLbl val="0"/>
      </c:catAx>
      <c:valAx>
        <c:axId val="791352560"/>
        <c:scaling>
          <c:orientation val="minMax"/>
          <c:max val="26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Tons of Paving Material (1,000s)</a:t>
                </a:r>
              </a:p>
            </c:rich>
          </c:tx>
          <c:layout>
            <c:manualLayout>
              <c:xMode val="edge"/>
              <c:yMode val="edge"/>
              <c:x val="0.29155774278215224"/>
              <c:y val="0.90414472407307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55184"/>
        <c:crosses val="max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60631301770344648"/>
          <c:y val="0.13703297621504124"/>
          <c:w val="0.12429380994162303"/>
          <c:h val="0.2261631332658571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316553506989571E-2"/>
          <c:y val="1.6525475218367978E-2"/>
          <c:w val="0.86409111148280204"/>
          <c:h val="0.7192362314516933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'Material Mass Impact Manual'!$Q$25</c:f>
              <c:strCache>
                <c:ptCount val="1"/>
                <c:pt idx="0">
                  <c:v>Asphalt Tons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'Material Mass Impact Manual'!$P$26:$P$30</c:f>
              <c:strCache>
                <c:ptCount val="5"/>
                <c:pt idx="0">
                  <c:v>Current 5%</c:v>
                </c:pt>
                <c:pt idx="1">
                  <c:v>10%</c:v>
                </c:pt>
                <c:pt idx="2">
                  <c:v>15%</c:v>
                </c:pt>
                <c:pt idx="3">
                  <c:v>20%</c:v>
                </c:pt>
                <c:pt idx="4">
                  <c:v>25%</c:v>
                </c:pt>
              </c:strCache>
            </c:strRef>
          </c:cat>
          <c:val>
            <c:numRef>
              <c:f>'Material Mass Impact Manual'!$Q$26:$Q$30</c:f>
              <c:numCache>
                <c:formatCode>#,##0</c:formatCode>
                <c:ptCount val="5"/>
                <c:pt idx="0">
                  <c:v>1461538.4615384615</c:v>
                </c:pt>
                <c:pt idx="1">
                  <c:v>1408355.0616811025</c:v>
                </c:pt>
                <c:pt idx="2">
                  <c:v>1352918.3318752311</c:v>
                </c:pt>
                <c:pt idx="3">
                  <c:v>1295166.6378870201</c:v>
                </c:pt>
                <c:pt idx="4">
                  <c:v>1235036.8943985859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B-4B8F-A6D7-D6D2449BC15B}"/>
            </c:ext>
          </c:extLst>
        </c:ser>
        <c:ser>
          <c:idx val="1"/>
          <c:order val="1"/>
          <c:tx>
            <c:strRef>
              <c:f>'Material Mass Impact Manual'!$R$25</c:f>
              <c:strCache>
                <c:ptCount val="1"/>
                <c:pt idx="0">
                  <c:v>Concrete Tons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'Material Mass Impact Manual'!$P$26:$P$30</c:f>
              <c:strCache>
                <c:ptCount val="5"/>
                <c:pt idx="0">
                  <c:v>Current 5%</c:v>
                </c:pt>
                <c:pt idx="1">
                  <c:v>10%</c:v>
                </c:pt>
                <c:pt idx="2">
                  <c:v>15%</c:v>
                </c:pt>
                <c:pt idx="3">
                  <c:v>20%</c:v>
                </c:pt>
                <c:pt idx="4">
                  <c:v>25%</c:v>
                </c:pt>
              </c:strCache>
            </c:strRef>
          </c:cat>
          <c:val>
            <c:numRef>
              <c:f>'Material Mass Impact Manual'!$R$26:$R$30</c:f>
              <c:numCache>
                <c:formatCode>#,##0</c:formatCode>
                <c:ptCount val="5"/>
                <c:pt idx="0">
                  <c:v>57857.142857142855</c:v>
                </c:pt>
                <c:pt idx="1">
                  <c:v>124042.48136798061</c:v>
                </c:pt>
                <c:pt idx="2">
                  <c:v>199455.11164348284</c:v>
                </c:pt>
                <c:pt idx="3">
                  <c:v>285080.40952838934</c:v>
                </c:pt>
                <c:pt idx="4">
                  <c:v>381997.79276405973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5B-4B8F-A6D7-D6D2449BC15B}"/>
            </c:ext>
          </c:extLst>
        </c:ser>
        <c:ser>
          <c:idx val="2"/>
          <c:order val="2"/>
          <c:tx>
            <c:strRef>
              <c:f>'Material Mass Impact Manual'!$S$25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'Material Mass Impact Manual'!$P$26:$P$30</c:f>
              <c:strCache>
                <c:ptCount val="5"/>
                <c:pt idx="0">
                  <c:v>Current 5%</c:v>
                </c:pt>
                <c:pt idx="1">
                  <c:v>10%</c:v>
                </c:pt>
                <c:pt idx="2">
                  <c:v>15%</c:v>
                </c:pt>
                <c:pt idx="3">
                  <c:v>20%</c:v>
                </c:pt>
                <c:pt idx="4">
                  <c:v>25%</c:v>
                </c:pt>
              </c:strCache>
            </c:strRef>
          </c:cat>
          <c:val>
            <c:numRef>
              <c:f>'Material Mass Impact Manual'!$S$26:$S$30</c:f>
              <c:numCache>
                <c:formatCode>#,##0</c:formatCode>
                <c:ptCount val="5"/>
                <c:pt idx="0">
                  <c:v>1519395.6043956045</c:v>
                </c:pt>
                <c:pt idx="1">
                  <c:v>1532397.5430490831</c:v>
                </c:pt>
                <c:pt idx="2">
                  <c:v>1552373.443518714</c:v>
                </c:pt>
                <c:pt idx="3">
                  <c:v>1580247.0474154095</c:v>
                </c:pt>
                <c:pt idx="4">
                  <c:v>1617034.6871626456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5B-4B8F-A6D7-D6D2449BC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91355184"/>
        <c:axId val="791352560"/>
      </c:barChart>
      <c:catAx>
        <c:axId val="79135518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% Spent on Concrete</a:t>
                </a:r>
              </a:p>
            </c:rich>
          </c:tx>
          <c:layout>
            <c:manualLayout>
              <c:xMode val="edge"/>
              <c:yMode val="edge"/>
              <c:x val="6.5485848957168762E-3"/>
              <c:y val="0.18243279849235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52560"/>
        <c:crosses val="autoZero"/>
        <c:auto val="1"/>
        <c:lblAlgn val="ctr"/>
        <c:lblOffset val="100"/>
        <c:noMultiLvlLbl val="0"/>
      </c:catAx>
      <c:valAx>
        <c:axId val="791352560"/>
        <c:scaling>
          <c:orientation val="minMax"/>
          <c:max val="26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Tons of Paving Material (1,000s)</a:t>
                </a:r>
              </a:p>
            </c:rich>
          </c:tx>
          <c:layout>
            <c:manualLayout>
              <c:xMode val="edge"/>
              <c:yMode val="edge"/>
              <c:x val="0.29155774278215224"/>
              <c:y val="0.90414472407307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55184"/>
        <c:crosses val="max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87366606854735274"/>
          <c:y val="0.11040849584792932"/>
          <c:w val="0.12429380994162303"/>
          <c:h val="0.2261631332658571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457199</xdr:colOff>
      <xdr:row>15</xdr:row>
      <xdr:rowOff>157162</xdr:rowOff>
    </xdr:from>
    <xdr:to>
      <xdr:col>11</xdr:col>
      <xdr:colOff>76200</xdr:colOff>
      <xdr:row>31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36</xdr:row>
      <xdr:rowOff>57148</xdr:rowOff>
    </xdr:from>
    <xdr:to>
      <xdr:col>11</xdr:col>
      <xdr:colOff>857250</xdr:colOff>
      <xdr:row>53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5BF188-34AC-42F7-A697-7B1541747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571500</xdr:colOff>
      <xdr:row>0</xdr:row>
      <xdr:rowOff>114300</xdr:rowOff>
    </xdr:from>
    <xdr:to>
      <xdr:col>11</xdr:col>
      <xdr:colOff>180975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83553-8FBC-47AB-AD0B-A46D45882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19</xdr:row>
      <xdr:rowOff>57148</xdr:rowOff>
    </xdr:from>
    <xdr:to>
      <xdr:col>11</xdr:col>
      <xdr:colOff>857250</xdr:colOff>
      <xdr:row>36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92383F-9FD5-47DC-8A4B-D8D4F3BF9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18</xdr:row>
      <xdr:rowOff>57148</xdr:rowOff>
    </xdr:from>
    <xdr:to>
      <xdr:col>11</xdr:col>
      <xdr:colOff>857250</xdr:colOff>
      <xdr:row>35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566830-04CF-4CE5-948D-6F2712359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showGridLines="0" zoomScale="135" zoomScaleNormal="100" workbookViewId="0">
      <selection activeCell="F15" sqref="F15"/>
    </sheetView>
  </sheetViews>
  <sheetFormatPr defaultColWidth="8.85546875" defaultRowHeight="15" outlineLevelRow="1" x14ac:dyDescent="0.25"/>
  <cols>
    <col min="2" max="2" width="17.42578125" style="8" bestFit="1" customWidth="1"/>
    <col min="3" max="3" width="14.140625" style="8" bestFit="1" customWidth="1"/>
    <col min="4" max="4" width="17.42578125" style="8" bestFit="1" customWidth="1"/>
    <col min="5" max="5" width="14.7109375" style="8" customWidth="1"/>
    <col min="6" max="6" width="12.42578125" style="8" bestFit="1" customWidth="1"/>
    <col min="7" max="7" width="15.85546875" style="8" bestFit="1" customWidth="1"/>
    <col min="8" max="8" width="15.42578125" style="8" customWidth="1"/>
    <col min="9" max="9" width="14.42578125" style="8" bestFit="1" customWidth="1"/>
    <col min="10" max="10" width="12.7109375" customWidth="1"/>
    <col min="11" max="12" width="15.85546875" customWidth="1"/>
    <col min="13" max="13" width="15.42578125" customWidth="1"/>
    <col min="14" max="14" width="13.42578125" customWidth="1"/>
    <col min="15" max="15" width="5.7109375" customWidth="1"/>
    <col min="16" max="24" width="13.42578125" customWidth="1"/>
  </cols>
  <sheetData>
    <row r="1" spans="1:19" x14ac:dyDescent="0.25">
      <c r="A1" s="18" t="s">
        <v>111</v>
      </c>
      <c r="N1" s="8"/>
      <c r="O1" s="8"/>
      <c r="P1" s="8"/>
    </row>
    <row r="2" spans="1:19" x14ac:dyDescent="0.25">
      <c r="A2" t="s">
        <v>112</v>
      </c>
      <c r="M2" s="8"/>
      <c r="N2" s="8"/>
      <c r="O2" s="8"/>
      <c r="P2" s="8"/>
    </row>
    <row r="3" spans="1:19" x14ac:dyDescent="0.25">
      <c r="A3" t="s">
        <v>127</v>
      </c>
      <c r="M3" s="8"/>
      <c r="N3" s="8"/>
      <c r="O3" s="8"/>
      <c r="P3" s="8"/>
    </row>
    <row r="4" spans="1:19" x14ac:dyDescent="0.25">
      <c r="M4" s="8"/>
      <c r="N4" s="8"/>
      <c r="O4" s="8"/>
      <c r="P4" s="8"/>
    </row>
    <row r="5" spans="1:19" x14ac:dyDescent="0.25">
      <c r="B5" s="118" t="s">
        <v>51</v>
      </c>
      <c r="C5" s="118"/>
      <c r="D5" s="118"/>
      <c r="M5" s="50"/>
      <c r="N5" s="52"/>
      <c r="P5" s="50"/>
      <c r="Q5" s="52"/>
      <c r="S5" s="50"/>
    </row>
    <row r="6" spans="1:19" x14ac:dyDescent="0.25">
      <c r="B6" s="8" t="s">
        <v>52</v>
      </c>
      <c r="C6" s="8" t="s">
        <v>53</v>
      </c>
      <c r="D6" s="8" t="s">
        <v>54</v>
      </c>
    </row>
    <row r="7" spans="1:19" x14ac:dyDescent="0.25">
      <c r="B7" s="28">
        <v>0.1</v>
      </c>
      <c r="C7" s="70">
        <f>EXP(0.34*B7)-1</f>
        <v>3.4584606728117917E-2</v>
      </c>
      <c r="D7" s="70">
        <f>EXP(1.39*B7)-1</f>
        <v>0.14912410000360499</v>
      </c>
      <c r="E7" s="41" t="s">
        <v>55</v>
      </c>
      <c r="N7" s="9"/>
      <c r="Q7" s="9"/>
    </row>
    <row r="8" spans="1:19" x14ac:dyDescent="0.25">
      <c r="B8" s="28">
        <v>0.05</v>
      </c>
      <c r="C8" s="70">
        <f t="shared" ref="C8:C14" si="0">EXP(0.34*B8)-1</f>
        <v>1.7145322325240686E-2</v>
      </c>
      <c r="D8" s="70">
        <f t="shared" ref="D8:D14" si="1">EXP(1.39*B8)-1</f>
        <v>7.1972061204770954E-2</v>
      </c>
      <c r="E8" s="41" t="s">
        <v>56</v>
      </c>
      <c r="M8" s="50"/>
      <c r="N8" s="52"/>
      <c r="P8" s="50"/>
      <c r="Q8" s="52"/>
      <c r="S8" s="50"/>
    </row>
    <row r="9" spans="1:19" x14ac:dyDescent="0.25">
      <c r="A9" s="80" t="s">
        <v>60</v>
      </c>
      <c r="B9" s="28">
        <v>0</v>
      </c>
      <c r="C9" s="70">
        <f t="shared" si="0"/>
        <v>0</v>
      </c>
      <c r="D9" s="70">
        <f t="shared" si="1"/>
        <v>0</v>
      </c>
      <c r="F9" s="8" t="s">
        <v>57</v>
      </c>
    </row>
    <row r="10" spans="1:19" x14ac:dyDescent="0.25">
      <c r="A10" s="81">
        <f>$F$15-B10</f>
        <v>0.15000000000000002</v>
      </c>
      <c r="B10" s="28">
        <v>-0.05</v>
      </c>
      <c r="C10" s="70">
        <f t="shared" si="0"/>
        <v>-1.6856315365090357E-2</v>
      </c>
      <c r="D10" s="70">
        <f t="shared" si="1"/>
        <v>-6.7139866615444022E-2</v>
      </c>
      <c r="E10" s="41" t="s">
        <v>58</v>
      </c>
      <c r="J10" s="8"/>
      <c r="K10" s="8"/>
      <c r="N10" s="9"/>
      <c r="Q10" s="9"/>
    </row>
    <row r="11" spans="1:19" x14ac:dyDescent="0.25">
      <c r="A11" s="81">
        <f t="shared" ref="A11:A14" si="2">$F$15-B11</f>
        <v>0.2</v>
      </c>
      <c r="B11" s="28">
        <v>-0.1</v>
      </c>
      <c r="C11" s="70">
        <f t="shared" si="0"/>
        <v>-3.3428495362493371E-2</v>
      </c>
      <c r="D11" s="70">
        <f t="shared" si="1"/>
        <v>-0.12977197154174835</v>
      </c>
      <c r="E11" s="41" t="s">
        <v>122</v>
      </c>
      <c r="J11" s="8"/>
      <c r="K11" s="8"/>
      <c r="M11" s="50"/>
      <c r="N11" s="52"/>
      <c r="P11" s="50"/>
      <c r="Q11" s="52"/>
      <c r="S11" s="50"/>
    </row>
    <row r="12" spans="1:19" x14ac:dyDescent="0.25">
      <c r="A12" s="81">
        <f t="shared" si="2"/>
        <v>0.25</v>
      </c>
      <c r="B12" s="28">
        <v>-0.15</v>
      </c>
      <c r="C12" s="70">
        <f t="shared" si="0"/>
        <v>-4.9721329467573017E-2</v>
      </c>
      <c r="D12" s="70">
        <f t="shared" si="1"/>
        <v>-0.18819896529745628</v>
      </c>
      <c r="J12" s="8"/>
      <c r="K12" s="8"/>
    </row>
    <row r="13" spans="1:19" x14ac:dyDescent="0.25">
      <c r="A13" s="81">
        <f t="shared" si="2"/>
        <v>0.30000000000000004</v>
      </c>
      <c r="B13" s="28">
        <v>-0.2</v>
      </c>
      <c r="C13" s="70">
        <f t="shared" si="0"/>
        <v>-6.5739526422786465E-2</v>
      </c>
      <c r="D13" s="70">
        <f t="shared" si="1"/>
        <v>-0.24270317848566447</v>
      </c>
      <c r="J13" s="8"/>
      <c r="N13" s="9"/>
      <c r="Q13" s="9"/>
    </row>
    <row r="14" spans="1:19" x14ac:dyDescent="0.25">
      <c r="A14" s="81">
        <f t="shared" si="2"/>
        <v>0.35</v>
      </c>
      <c r="B14" s="28">
        <v>-0.25</v>
      </c>
      <c r="C14" s="70">
        <f t="shared" si="0"/>
        <v>-8.148771559854262E-2</v>
      </c>
      <c r="D14" s="70">
        <f t="shared" si="1"/>
        <v>-0.29354798607043664</v>
      </c>
      <c r="J14" s="8"/>
      <c r="M14" s="50"/>
      <c r="N14" s="52"/>
      <c r="P14" s="50"/>
      <c r="Q14" s="52"/>
      <c r="S14" s="50"/>
    </row>
    <row r="15" spans="1:19" x14ac:dyDescent="0.25">
      <c r="A15" s="81"/>
      <c r="B15" s="28"/>
      <c r="C15" s="70"/>
      <c r="D15" s="70"/>
      <c r="E15" s="50" t="s">
        <v>113</v>
      </c>
      <c r="F15" s="92">
        <v>0.1</v>
      </c>
      <c r="J15" s="24"/>
    </row>
    <row r="16" spans="1:19" x14ac:dyDescent="0.25">
      <c r="A16" s="81"/>
      <c r="B16" s="28"/>
      <c r="C16" s="78"/>
      <c r="D16" s="78"/>
      <c r="N16" s="9"/>
      <c r="Q16" s="9"/>
    </row>
    <row r="17" spans="1:27" x14ac:dyDescent="0.25">
      <c r="A17" s="81"/>
      <c r="B17" s="78"/>
      <c r="C17" s="78"/>
      <c r="D17" s="79"/>
      <c r="E17" s="50"/>
      <c r="F17" s="52"/>
      <c r="G17"/>
      <c r="H17" s="50"/>
      <c r="I17" s="52"/>
      <c r="K17" s="50"/>
      <c r="M17" s="50"/>
      <c r="N17" s="52"/>
      <c r="P17" s="50"/>
      <c r="Q17" s="52"/>
      <c r="S17" s="50"/>
    </row>
    <row r="18" spans="1:27" x14ac:dyDescent="0.25">
      <c r="B18"/>
      <c r="C18"/>
      <c r="D18"/>
      <c r="E18"/>
      <c r="F18"/>
      <c r="G18"/>
      <c r="H18"/>
      <c r="I18"/>
    </row>
    <row r="19" spans="1:27" x14ac:dyDescent="0.25">
      <c r="B19"/>
      <c r="C19" s="9"/>
      <c r="D19"/>
      <c r="E19"/>
      <c r="F19" s="9"/>
      <c r="G19"/>
      <c r="H19"/>
      <c r="I19" s="9"/>
      <c r="N19" s="9"/>
      <c r="Q19" s="9"/>
    </row>
    <row r="20" spans="1:27" hidden="1" outlineLevel="1" x14ac:dyDescent="0.25">
      <c r="B20" s="81"/>
      <c r="C20" s="52"/>
      <c r="D20"/>
      <c r="E20" s="50"/>
      <c r="F20" s="52"/>
      <c r="G20"/>
      <c r="H20" s="50"/>
      <c r="I20" s="52"/>
      <c r="K20" s="50"/>
      <c r="M20" s="50"/>
      <c r="N20" s="52"/>
      <c r="P20" s="50"/>
      <c r="Q20" s="52"/>
      <c r="S20" s="50"/>
    </row>
    <row r="21" spans="1:27" hidden="1" outlineLevel="1" x14ac:dyDescent="0.25">
      <c r="B21"/>
      <c r="C21"/>
      <c r="D21"/>
      <c r="E21"/>
      <c r="F21"/>
      <c r="G21"/>
      <c r="H21"/>
      <c r="I21"/>
    </row>
    <row r="22" spans="1:27" hidden="1" outlineLevel="1" x14ac:dyDescent="0.25">
      <c r="B22"/>
      <c r="C22" s="9"/>
      <c r="D22"/>
      <c r="E22"/>
      <c r="F22" s="9"/>
      <c r="G22"/>
      <c r="H22"/>
      <c r="I22" s="9"/>
      <c r="N22" s="9"/>
      <c r="Q22" s="9"/>
    </row>
    <row r="23" spans="1:27" collapsed="1" x14ac:dyDescent="0.25">
      <c r="B23" s="50"/>
      <c r="C23" s="52"/>
      <c r="D23"/>
      <c r="E23" s="50"/>
      <c r="F23" s="52"/>
      <c r="G23"/>
      <c r="H23" s="50"/>
      <c r="I23" s="52"/>
      <c r="K23" s="50"/>
      <c r="L23" s="52"/>
      <c r="N23" s="54"/>
      <c r="P23" s="44"/>
      <c r="Q23" s="44"/>
    </row>
    <row r="24" spans="1:27" x14ac:dyDescent="0.25">
      <c r="B24"/>
      <c r="C24"/>
      <c r="D24"/>
      <c r="E24"/>
      <c r="F24"/>
      <c r="G24"/>
      <c r="H24"/>
      <c r="I24"/>
      <c r="N24" s="54"/>
      <c r="P24" s="44"/>
      <c r="Q24" s="44"/>
    </row>
    <row r="25" spans="1:27" x14ac:dyDescent="0.25">
      <c r="B25"/>
      <c r="C25" s="9"/>
      <c r="D25"/>
      <c r="E25"/>
      <c r="F25" s="9"/>
      <c r="G25"/>
      <c r="H25"/>
      <c r="I25" s="9"/>
      <c r="L25" s="9"/>
      <c r="N25" s="54"/>
      <c r="P25" s="44"/>
      <c r="Q25" s="44"/>
      <c r="Z25" s="31">
        <f>L25-L23</f>
        <v>0</v>
      </c>
      <c r="AA25" t="e">
        <f>Z25/L23</f>
        <v>#DIV/0!</v>
      </c>
    </row>
    <row r="26" spans="1:27" x14ac:dyDescent="0.25">
      <c r="B26" s="50"/>
      <c r="C26" s="52"/>
      <c r="D26"/>
      <c r="E26" s="50"/>
      <c r="F26" s="52"/>
      <c r="G26"/>
      <c r="H26" s="50"/>
      <c r="I26" s="52"/>
      <c r="K26" s="50"/>
      <c r="L26" s="52"/>
      <c r="N26" s="54"/>
      <c r="P26" s="44"/>
      <c r="Q26" s="44"/>
    </row>
    <row r="27" spans="1:27" x14ac:dyDescent="0.25">
      <c r="B27"/>
      <c r="C27"/>
      <c r="D27"/>
      <c r="E27"/>
      <c r="F27"/>
      <c r="G27"/>
      <c r="H27"/>
      <c r="I27"/>
    </row>
    <row r="28" spans="1:27" x14ac:dyDescent="0.25">
      <c r="B28"/>
      <c r="C28" s="9"/>
      <c r="D28"/>
      <c r="E28"/>
      <c r="F28" s="9"/>
      <c r="G28"/>
      <c r="H28"/>
      <c r="I28" s="9"/>
      <c r="L28" s="9"/>
    </row>
    <row r="29" spans="1:27" x14ac:dyDescent="0.25">
      <c r="B29"/>
      <c r="C29"/>
      <c r="D29"/>
      <c r="E29"/>
      <c r="F29"/>
      <c r="G29"/>
      <c r="H29"/>
      <c r="I29"/>
    </row>
    <row r="30" spans="1:27" x14ac:dyDescent="0.25">
      <c r="B30"/>
      <c r="C30"/>
      <c r="D30"/>
      <c r="E30"/>
      <c r="F30"/>
      <c r="G30"/>
      <c r="H30"/>
      <c r="I30"/>
    </row>
    <row r="31" spans="1:27" x14ac:dyDescent="0.25">
      <c r="B31"/>
      <c r="C31"/>
      <c r="D31"/>
      <c r="E31"/>
      <c r="F31"/>
      <c r="G31"/>
      <c r="H31"/>
      <c r="I31"/>
    </row>
    <row r="32" spans="1:27" x14ac:dyDescent="0.25">
      <c r="B32"/>
      <c r="C32"/>
      <c r="D32"/>
      <c r="E32"/>
      <c r="F32"/>
      <c r="G32"/>
      <c r="H32"/>
      <c r="I32"/>
      <c r="R32" s="23"/>
      <c r="S32" s="43"/>
    </row>
    <row r="33" spans="2:19" x14ac:dyDescent="0.25">
      <c r="B33"/>
      <c r="C33"/>
      <c r="D33"/>
      <c r="E33"/>
      <c r="F33"/>
      <c r="G33"/>
      <c r="H33"/>
      <c r="I33"/>
      <c r="P33" s="8"/>
      <c r="Q33" s="8"/>
      <c r="R33" s="8"/>
      <c r="S33" s="8"/>
    </row>
    <row r="34" spans="2:19" x14ac:dyDescent="0.25">
      <c r="B34"/>
      <c r="C34"/>
      <c r="D34"/>
      <c r="E34"/>
      <c r="F34"/>
      <c r="G34"/>
      <c r="H34"/>
      <c r="I34"/>
      <c r="O34" s="9"/>
      <c r="P34" s="29"/>
      <c r="Q34" s="30"/>
      <c r="R34" s="30"/>
      <c r="S34" s="30"/>
    </row>
    <row r="35" spans="2:19" x14ac:dyDescent="0.25">
      <c r="B35"/>
      <c r="C35"/>
      <c r="D35"/>
      <c r="E35"/>
      <c r="F35"/>
      <c r="G35"/>
      <c r="H35"/>
      <c r="I35"/>
      <c r="O35" s="67"/>
      <c r="P35" s="28"/>
      <c r="Q35" s="30"/>
      <c r="R35" s="30"/>
      <c r="S35" s="30"/>
    </row>
    <row r="36" spans="2:19" x14ac:dyDescent="0.25">
      <c r="B36"/>
      <c r="C36"/>
      <c r="D36"/>
      <c r="E36"/>
      <c r="F36"/>
      <c r="G36"/>
      <c r="H36"/>
      <c r="I36"/>
      <c r="O36" s="67"/>
      <c r="P36" s="28"/>
      <c r="Q36" s="30"/>
      <c r="R36" s="30"/>
      <c r="S36" s="30"/>
    </row>
    <row r="37" spans="2:19" x14ac:dyDescent="0.25">
      <c r="B37"/>
      <c r="C37"/>
      <c r="D37"/>
      <c r="E37"/>
      <c r="F37"/>
      <c r="G37"/>
      <c r="H37"/>
      <c r="I37"/>
      <c r="O37" s="67"/>
      <c r="P37" s="28"/>
      <c r="Q37" s="30"/>
      <c r="R37" s="30"/>
      <c r="S37" s="30"/>
    </row>
    <row r="38" spans="2:19" x14ac:dyDescent="0.25">
      <c r="B38"/>
      <c r="C38"/>
      <c r="D38"/>
      <c r="E38"/>
      <c r="F38"/>
      <c r="G38"/>
      <c r="H38"/>
      <c r="I38"/>
      <c r="O38" s="67"/>
      <c r="P38" s="28"/>
      <c r="Q38" s="30"/>
      <c r="R38" s="30"/>
      <c r="S38" s="30"/>
    </row>
    <row r="39" spans="2:19" x14ac:dyDescent="0.25">
      <c r="B39"/>
      <c r="C39"/>
      <c r="D39"/>
      <c r="E39"/>
      <c r="F39"/>
      <c r="G39"/>
      <c r="H39"/>
      <c r="I39"/>
    </row>
    <row r="43" spans="2:19" x14ac:dyDescent="0.25">
      <c r="N43" s="56"/>
    </row>
  </sheetData>
  <mergeCells count="1">
    <mergeCell ref="B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3"/>
  <sheetViews>
    <sheetView showGridLines="0" topLeftCell="A7" zoomScaleNormal="100" workbookViewId="0">
      <selection activeCell="A15" sqref="A15:XFD15"/>
    </sheetView>
  </sheetViews>
  <sheetFormatPr defaultColWidth="8.85546875" defaultRowHeight="15" outlineLevelRow="1" x14ac:dyDescent="0.25"/>
  <cols>
    <col min="2" max="2" width="17.42578125" style="8" bestFit="1" customWidth="1"/>
    <col min="3" max="3" width="14.140625" style="8" bestFit="1" customWidth="1"/>
    <col min="4" max="4" width="17.42578125" style="8" bestFit="1" customWidth="1"/>
    <col min="5" max="5" width="14.7109375" style="8" customWidth="1"/>
    <col min="6" max="6" width="12.42578125" style="8" bestFit="1" customWidth="1"/>
    <col min="7" max="7" width="15.85546875" style="8" bestFit="1" customWidth="1"/>
    <col min="8" max="8" width="15.42578125" style="8" customWidth="1"/>
    <col min="9" max="9" width="14.42578125" style="8" bestFit="1" customWidth="1"/>
    <col min="10" max="10" width="12.7109375" customWidth="1"/>
    <col min="11" max="12" width="15.85546875" customWidth="1"/>
    <col min="13" max="13" width="15.42578125" customWidth="1"/>
    <col min="14" max="14" width="13.42578125" customWidth="1"/>
    <col min="15" max="15" width="5.7109375" customWidth="1"/>
    <col min="16" max="24" width="13.42578125" customWidth="1"/>
  </cols>
  <sheetData>
    <row r="1" spans="1:17" x14ac:dyDescent="0.25">
      <c r="A1" s="18" t="s">
        <v>46</v>
      </c>
      <c r="N1" s="8"/>
      <c r="O1" s="8" t="s">
        <v>12</v>
      </c>
      <c r="P1" s="8" t="s">
        <v>13</v>
      </c>
    </row>
    <row r="2" spans="1:17" x14ac:dyDescent="0.25">
      <c r="M2" s="8" t="s">
        <v>28</v>
      </c>
      <c r="N2" s="8"/>
      <c r="O2" s="8">
        <v>145</v>
      </c>
      <c r="P2" s="8">
        <v>150</v>
      </c>
      <c r="Q2" t="s">
        <v>16</v>
      </c>
    </row>
    <row r="3" spans="1:17" x14ac:dyDescent="0.25">
      <c r="B3" s="118" t="s">
        <v>29</v>
      </c>
      <c r="C3" s="118"/>
      <c r="D3" s="118"/>
    </row>
    <row r="4" spans="1:17" x14ac:dyDescent="0.25">
      <c r="B4" s="8" t="s">
        <v>30</v>
      </c>
      <c r="C4" s="8" t="s">
        <v>17</v>
      </c>
      <c r="D4" s="8" t="s">
        <v>18</v>
      </c>
    </row>
    <row r="5" spans="1:17" ht="15.75" thickBot="1" x14ac:dyDescent="0.3">
      <c r="B5" s="28">
        <v>0</v>
      </c>
      <c r="C5" s="42">
        <v>0.02</v>
      </c>
      <c r="D5" s="42">
        <v>0.02</v>
      </c>
      <c r="E5" s="41" t="s">
        <v>31</v>
      </c>
      <c r="M5" s="57" t="s">
        <v>40</v>
      </c>
    </row>
    <row r="6" spans="1:17" x14ac:dyDescent="0.25">
      <c r="B6" s="28">
        <v>0.05</v>
      </c>
      <c r="C6" s="8">
        <v>0</v>
      </c>
      <c r="D6" s="8">
        <v>0</v>
      </c>
      <c r="E6" s="41" t="s">
        <v>32</v>
      </c>
      <c r="M6" s="58" t="s">
        <v>41</v>
      </c>
      <c r="N6" s="59">
        <v>0.122</v>
      </c>
      <c r="O6" t="s">
        <v>44</v>
      </c>
    </row>
    <row r="7" spans="1:17" x14ac:dyDescent="0.25">
      <c r="B7" s="28">
        <v>0.1</v>
      </c>
      <c r="C7" s="29">
        <v>-2.1000000000000001E-2</v>
      </c>
      <c r="D7" s="29">
        <v>-2.3900000000000001E-2</v>
      </c>
      <c r="M7" s="60" t="s">
        <v>36</v>
      </c>
      <c r="N7" s="61">
        <v>288.39999999999998</v>
      </c>
    </row>
    <row r="8" spans="1:17" ht="15.75" thickBot="1" x14ac:dyDescent="0.3">
      <c r="B8" s="28">
        <v>0.15</v>
      </c>
      <c r="C8" s="29">
        <v>-4.1599999999999998E-2</v>
      </c>
      <c r="D8" s="29">
        <v>-4.7300000000000002E-2</v>
      </c>
      <c r="J8" s="8"/>
      <c r="K8" s="8"/>
      <c r="L8" s="8"/>
      <c r="M8" s="62" t="s">
        <v>37</v>
      </c>
      <c r="N8" s="63">
        <v>108.23</v>
      </c>
    </row>
    <row r="9" spans="1:17" x14ac:dyDescent="0.25">
      <c r="B9" s="28">
        <v>0.2</v>
      </c>
      <c r="C9" s="29">
        <v>-6.1699999999999998E-2</v>
      </c>
      <c r="D9" s="29">
        <v>-7.0099999999999996E-2</v>
      </c>
      <c r="J9" s="8"/>
      <c r="K9" s="8"/>
      <c r="L9" s="8"/>
      <c r="M9" s="9"/>
    </row>
    <row r="10" spans="1:17" x14ac:dyDescent="0.25">
      <c r="B10" s="28">
        <v>0.25</v>
      </c>
      <c r="C10" s="29">
        <v>-8.14E-2</v>
      </c>
      <c r="D10" s="29">
        <v>-9.2399999999999996E-2</v>
      </c>
      <c r="J10" s="8"/>
      <c r="K10" s="8"/>
      <c r="L10" s="8"/>
      <c r="M10" s="50" t="s">
        <v>38</v>
      </c>
      <c r="N10" s="51">
        <f>N7*(1-(-0.4451*N6+0.0202))</f>
        <v>298.23507447999998</v>
      </c>
      <c r="P10">
        <f>-0.4451*N6+0.0202</f>
        <v>-3.4102199999999999E-2</v>
      </c>
    </row>
    <row r="11" spans="1:17" x14ac:dyDescent="0.25">
      <c r="B11" s="28">
        <v>0.3</v>
      </c>
      <c r="C11" s="29">
        <v>-0.1007</v>
      </c>
      <c r="D11" s="29">
        <v>-0.11409999999999999</v>
      </c>
      <c r="J11" s="8"/>
      <c r="M11" s="50" t="s">
        <v>39</v>
      </c>
      <c r="N11" s="52">
        <f>N8*(1-(-0.3967*N6+0.0189))</f>
        <v>111.42250360199999</v>
      </c>
    </row>
    <row r="12" spans="1:17" x14ac:dyDescent="0.25">
      <c r="B12" s="28">
        <v>0.35</v>
      </c>
      <c r="C12" s="29">
        <v>-0.1196</v>
      </c>
      <c r="D12" s="29">
        <v>-0.1353</v>
      </c>
      <c r="J12" s="8"/>
      <c r="N12" s="9"/>
      <c r="O12" s="9"/>
      <c r="P12" s="10"/>
      <c r="Q12" s="10"/>
    </row>
    <row r="13" spans="1:17" x14ac:dyDescent="0.25">
      <c r="B13" s="28">
        <v>0.4</v>
      </c>
      <c r="C13" s="29">
        <v>-0.13800000000000001</v>
      </c>
      <c r="D13" s="29">
        <v>-0.156</v>
      </c>
      <c r="J13" s="24"/>
      <c r="N13" s="9"/>
      <c r="O13" s="9"/>
      <c r="P13" s="10"/>
    </row>
    <row r="14" spans="1:17" x14ac:dyDescent="0.25">
      <c r="N14" s="9"/>
      <c r="O14" s="9"/>
      <c r="P14" s="11"/>
    </row>
    <row r="15" spans="1:17" x14ac:dyDescent="0.25">
      <c r="B15" s="23" t="s">
        <v>47</v>
      </c>
    </row>
    <row r="16" spans="1:17" ht="15.75" thickBot="1" x14ac:dyDescent="0.3">
      <c r="B16" s="8" t="s">
        <v>42</v>
      </c>
      <c r="J16" s="8"/>
      <c r="K16" s="8"/>
      <c r="L16" s="8"/>
      <c r="M16" s="8"/>
    </row>
    <row r="17" spans="1:17" ht="42.75" x14ac:dyDescent="0.25">
      <c r="B17" s="6" t="s">
        <v>0</v>
      </c>
      <c r="C17" s="6" t="s">
        <v>6</v>
      </c>
      <c r="D17" s="6" t="s">
        <v>5</v>
      </c>
      <c r="E17" s="6" t="s">
        <v>8</v>
      </c>
      <c r="F17" s="6" t="s">
        <v>3</v>
      </c>
      <c r="G17" s="6" t="s">
        <v>1</v>
      </c>
      <c r="H17" s="6" t="s">
        <v>4</v>
      </c>
      <c r="I17" s="6" t="s">
        <v>9</v>
      </c>
      <c r="J17" s="7" t="s">
        <v>10</v>
      </c>
      <c r="K17" s="6" t="s">
        <v>11</v>
      </c>
      <c r="L17" s="12" t="s">
        <v>14</v>
      </c>
      <c r="M17" s="12" t="s">
        <v>15</v>
      </c>
      <c r="P17" s="12" t="s">
        <v>35</v>
      </c>
      <c r="Q17" s="12" t="s">
        <v>34</v>
      </c>
    </row>
    <row r="18" spans="1:17" x14ac:dyDescent="0.25">
      <c r="B18" s="17">
        <v>50000000</v>
      </c>
      <c r="C18" s="2">
        <v>0</v>
      </c>
      <c r="D18" s="3">
        <f>B18*(1-C18)</f>
        <v>50000000</v>
      </c>
      <c r="E18" s="25">
        <f>VLOOKUP(C18,$B$5:$D$13,2)</f>
        <v>0.02</v>
      </c>
      <c r="F18" s="4">
        <f>$F$19*(1+E18)</f>
        <v>113.65095367404</v>
      </c>
      <c r="G18" s="5">
        <f t="shared" ref="G18:G26" si="0">D18/F18</f>
        <v>439943.51462640596</v>
      </c>
      <c r="H18" s="1">
        <f t="shared" ref="H18:H26" si="1">B18-D18</f>
        <v>0</v>
      </c>
      <c r="I18" s="25">
        <f>VLOOKUP(C18,$B$5:$D$13,3)</f>
        <v>0.02</v>
      </c>
      <c r="J18" s="4">
        <f>$J$19*(1+I18)</f>
        <v>304.19977596960001</v>
      </c>
      <c r="K18" s="5" t="s">
        <v>2</v>
      </c>
      <c r="L18" s="5"/>
      <c r="M18" s="5"/>
      <c r="P18" s="44">
        <f t="shared" ref="P18:P26" si="2">-0.4451*C18+0.0202</f>
        <v>2.0199999999999999E-2</v>
      </c>
      <c r="Q18" s="44">
        <f t="shared" ref="Q18:Q26" si="3">-0.3967*C18+0.0189</f>
        <v>1.89E-2</v>
      </c>
    </row>
    <row r="19" spans="1:17" x14ac:dyDescent="0.25">
      <c r="B19" s="13">
        <f>B18</f>
        <v>50000000</v>
      </c>
      <c r="C19" s="14">
        <v>0.05</v>
      </c>
      <c r="D19" s="15">
        <f>B19*(1-C19)</f>
        <v>47500000</v>
      </c>
      <c r="E19" s="25">
        <f t="shared" ref="E19:E26" si="4">VLOOKUP(C19,$B$5:$D$13,2)</f>
        <v>0</v>
      </c>
      <c r="F19" s="24">
        <f>N11</f>
        <v>111.42250360199999</v>
      </c>
      <c r="G19" s="16">
        <f>D19/F19</f>
        <v>426305.26567298739</v>
      </c>
      <c r="H19" s="13">
        <f t="shared" si="1"/>
        <v>2500000</v>
      </c>
      <c r="I19" s="26">
        <f t="shared" ref="I19:I26" si="5">VLOOKUP(C19,$B$5:$D$13,3)</f>
        <v>0</v>
      </c>
      <c r="J19" s="24">
        <f>N10</f>
        <v>298.23507447999998</v>
      </c>
      <c r="K19" s="16">
        <f>H19/J19</f>
        <v>8382.6491714932508</v>
      </c>
      <c r="L19" s="16">
        <f t="shared" ref="L19:L26" si="6">K19*27*$P$2/2000</f>
        <v>16974.864572273833</v>
      </c>
      <c r="M19" s="16">
        <f>L19+G19</f>
        <v>443280.13024526124</v>
      </c>
      <c r="P19" s="44">
        <f t="shared" si="2"/>
        <v>-2.0550000000000013E-3</v>
      </c>
      <c r="Q19" s="44">
        <f t="shared" si="3"/>
        <v>-9.350000000000018E-4</v>
      </c>
    </row>
    <row r="20" spans="1:17" x14ac:dyDescent="0.25">
      <c r="B20" s="45">
        <f>B19</f>
        <v>50000000</v>
      </c>
      <c r="C20" s="46">
        <v>0.1</v>
      </c>
      <c r="D20" s="47">
        <f>B20*(1-C20)</f>
        <v>45000000</v>
      </c>
      <c r="E20" s="25">
        <f t="shared" si="4"/>
        <v>-2.1000000000000001E-2</v>
      </c>
      <c r="F20" s="4">
        <f>$F$19*(1+E20)</f>
        <v>109.08263102635799</v>
      </c>
      <c r="G20" s="48">
        <f>D20/F20</f>
        <v>412531.30380698742</v>
      </c>
      <c r="H20" s="45">
        <f t="shared" si="1"/>
        <v>5000000</v>
      </c>
      <c r="I20" s="49">
        <f t="shared" si="5"/>
        <v>-2.3900000000000001E-2</v>
      </c>
      <c r="J20" s="4">
        <f>$J$19*(1+I20)</f>
        <v>291.10725619992797</v>
      </c>
      <c r="K20" s="48">
        <f>H20/J20</f>
        <v>17175.799962080222</v>
      </c>
      <c r="L20" s="48">
        <f t="shared" si="6"/>
        <v>34780.994923212449</v>
      </c>
      <c r="M20" s="48">
        <f>L20+G20</f>
        <v>447312.29873019987</v>
      </c>
      <c r="P20" s="44">
        <f t="shared" si="2"/>
        <v>-2.4310000000000002E-2</v>
      </c>
      <c r="Q20" s="44">
        <f t="shared" si="3"/>
        <v>-2.0770000000000004E-2</v>
      </c>
    </row>
    <row r="21" spans="1:17" x14ac:dyDescent="0.25">
      <c r="B21" s="1">
        <f>B19</f>
        <v>50000000</v>
      </c>
      <c r="C21" s="2">
        <v>0.15</v>
      </c>
      <c r="D21" s="3">
        <f t="shared" ref="D21:D26" si="7">B21*(1-C21)</f>
        <v>42500000</v>
      </c>
      <c r="E21" s="25">
        <f t="shared" si="4"/>
        <v>-4.1599999999999998E-2</v>
      </c>
      <c r="F21" s="4">
        <f>$F$19*(1+E21)</f>
        <v>106.7873274521568</v>
      </c>
      <c r="G21" s="48">
        <f t="shared" si="0"/>
        <v>397987.29881165893</v>
      </c>
      <c r="H21" s="1">
        <f t="shared" si="1"/>
        <v>7500000</v>
      </c>
      <c r="I21" s="25">
        <f t="shared" si="5"/>
        <v>-4.7300000000000002E-2</v>
      </c>
      <c r="J21" s="4">
        <f>$J$19*(1+I21)</f>
        <v>284.12855545709596</v>
      </c>
      <c r="K21" s="5">
        <f t="shared" ref="K21:K26" si="8">H21/J21</f>
        <v>26396.502062012969</v>
      </c>
      <c r="L21" s="48">
        <f t="shared" si="6"/>
        <v>53452.916675576264</v>
      </c>
      <c r="M21" s="48">
        <f t="shared" ref="M21:M26" si="9">L21+G21</f>
        <v>451440.21548723517</v>
      </c>
      <c r="P21" s="44">
        <f t="shared" si="2"/>
        <v>-4.6564999999999995E-2</v>
      </c>
      <c r="Q21" s="44">
        <f t="shared" si="3"/>
        <v>-4.0604999999999995E-2</v>
      </c>
    </row>
    <row r="22" spans="1:17" x14ac:dyDescent="0.25">
      <c r="B22" s="1">
        <f>B20</f>
        <v>50000000</v>
      </c>
      <c r="C22" s="2">
        <v>0.2</v>
      </c>
      <c r="D22" s="3">
        <f t="shared" si="7"/>
        <v>40000000</v>
      </c>
      <c r="E22" s="25">
        <f t="shared" si="4"/>
        <v>-6.1699999999999998E-2</v>
      </c>
      <c r="F22" s="4">
        <f>$F$19*(1+E22)</f>
        <v>104.54773512975659</v>
      </c>
      <c r="G22" s="48">
        <f t="shared" si="0"/>
        <v>382600.34949925105</v>
      </c>
      <c r="H22" s="1">
        <f t="shared" si="1"/>
        <v>10000000</v>
      </c>
      <c r="I22" s="25">
        <f t="shared" si="5"/>
        <v>-7.0099999999999996E-2</v>
      </c>
      <c r="J22" s="4">
        <f>$J$19*(1+I22)</f>
        <v>277.32879575895197</v>
      </c>
      <c r="K22" s="5">
        <f t="shared" si="8"/>
        <v>36058.282273333702</v>
      </c>
      <c r="L22" s="48">
        <f t="shared" si="6"/>
        <v>73018.021603500732</v>
      </c>
      <c r="M22" s="48">
        <f t="shared" si="9"/>
        <v>455618.37110275181</v>
      </c>
      <c r="P22" s="44">
        <f t="shared" si="2"/>
        <v>-6.8820000000000006E-2</v>
      </c>
      <c r="Q22" s="44">
        <f t="shared" si="3"/>
        <v>-6.0440000000000008E-2</v>
      </c>
    </row>
    <row r="23" spans="1:17" x14ac:dyDescent="0.25">
      <c r="B23" s="1">
        <f>B21</f>
        <v>50000000</v>
      </c>
      <c r="C23" s="46">
        <v>0.25</v>
      </c>
      <c r="D23" s="3">
        <f t="shared" si="7"/>
        <v>37500000</v>
      </c>
      <c r="E23" s="25">
        <f t="shared" si="4"/>
        <v>-8.14E-2</v>
      </c>
      <c r="F23" s="4">
        <f>$F$19*(1+E23)</f>
        <v>102.3527118087972</v>
      </c>
      <c r="G23" s="48">
        <f t="shared" si="0"/>
        <v>366380.13138384558</v>
      </c>
      <c r="H23" s="1">
        <f t="shared" si="1"/>
        <v>12500000</v>
      </c>
      <c r="I23" s="25">
        <f t="shared" si="5"/>
        <v>-9.2399999999999996E-2</v>
      </c>
      <c r="J23" s="4">
        <f>$J$19*(1+I23)</f>
        <v>270.67815359804797</v>
      </c>
      <c r="K23" s="5">
        <f t="shared" si="8"/>
        <v>46180.306145291164</v>
      </c>
      <c r="L23" s="48">
        <f t="shared" si="6"/>
        <v>93515.119944214617</v>
      </c>
      <c r="M23" s="48">
        <f t="shared" si="9"/>
        <v>459895.25132806017</v>
      </c>
      <c r="P23" s="44">
        <f t="shared" si="2"/>
        <v>-9.1075000000000003E-2</v>
      </c>
      <c r="Q23" s="44">
        <f t="shared" si="3"/>
        <v>-8.0274999999999999E-2</v>
      </c>
    </row>
    <row r="24" spans="1:17" x14ac:dyDescent="0.25">
      <c r="B24" s="1">
        <f t="shared" ref="B24" si="10">B21</f>
        <v>50000000</v>
      </c>
      <c r="C24" s="2">
        <v>0.3</v>
      </c>
      <c r="D24" s="3">
        <f t="shared" si="7"/>
        <v>35000000</v>
      </c>
      <c r="E24" s="25">
        <f t="shared" si="4"/>
        <v>-0.1007</v>
      </c>
      <c r="F24" s="4">
        <f t="shared" ref="F24:F26" si="11">$F$19*(1+E24)</f>
        <v>100.20225748927859</v>
      </c>
      <c r="G24" s="5">
        <f t="shared" si="0"/>
        <v>349293.52768070041</v>
      </c>
      <c r="H24" s="1">
        <f t="shared" si="1"/>
        <v>15000000</v>
      </c>
      <c r="I24" s="25">
        <f t="shared" si="5"/>
        <v>-0.11409999999999999</v>
      </c>
      <c r="J24" s="4">
        <f t="shared" ref="J24:J26" si="12">$J$19*(1+I24)</f>
        <v>264.206452481832</v>
      </c>
      <c r="K24" s="5">
        <f t="shared" si="8"/>
        <v>56773.783755457167</v>
      </c>
      <c r="L24" s="48">
        <f t="shared" si="6"/>
        <v>114966.91210480077</v>
      </c>
      <c r="M24" s="48">
        <f t="shared" si="9"/>
        <v>464260.43978550116</v>
      </c>
      <c r="P24" s="44">
        <f t="shared" si="2"/>
        <v>-0.11332999999999999</v>
      </c>
      <c r="Q24" s="44">
        <f t="shared" si="3"/>
        <v>-0.10010999999999999</v>
      </c>
    </row>
    <row r="25" spans="1:17" x14ac:dyDescent="0.25">
      <c r="B25" s="19">
        <f>B21</f>
        <v>50000000</v>
      </c>
      <c r="C25" s="14">
        <v>0.35</v>
      </c>
      <c r="D25" s="20">
        <f t="shared" si="7"/>
        <v>32500000</v>
      </c>
      <c r="E25" s="27">
        <f t="shared" si="4"/>
        <v>-0.1196</v>
      </c>
      <c r="F25" s="21">
        <f t="shared" si="11"/>
        <v>98.096372171200784</v>
      </c>
      <c r="G25" s="22">
        <f t="shared" si="0"/>
        <v>331306.84938358382</v>
      </c>
      <c r="H25" s="19">
        <f t="shared" si="1"/>
        <v>17500000</v>
      </c>
      <c r="I25" s="27">
        <f t="shared" si="5"/>
        <v>-0.1353</v>
      </c>
      <c r="J25" s="21">
        <f t="shared" si="12"/>
        <v>257.88386890285597</v>
      </c>
      <c r="K25" s="22">
        <f t="shared" si="8"/>
        <v>67860.002544758609</v>
      </c>
      <c r="L25" s="16">
        <f t="shared" si="6"/>
        <v>137416.50515313618</v>
      </c>
      <c r="M25" s="16">
        <f t="shared" si="9"/>
        <v>468723.35453671997</v>
      </c>
      <c r="P25" s="44">
        <f t="shared" si="2"/>
        <v>-0.13558499999999998</v>
      </c>
      <c r="Q25" s="44">
        <f t="shared" si="3"/>
        <v>-0.119945</v>
      </c>
    </row>
    <row r="26" spans="1:17" x14ac:dyDescent="0.25">
      <c r="B26" s="1">
        <f>B22</f>
        <v>50000000</v>
      </c>
      <c r="C26" s="46">
        <v>0.4</v>
      </c>
      <c r="D26" s="3">
        <f t="shared" si="7"/>
        <v>30000000</v>
      </c>
      <c r="E26" s="25">
        <f t="shared" si="4"/>
        <v>-0.13800000000000001</v>
      </c>
      <c r="F26" s="4">
        <f t="shared" si="11"/>
        <v>96.046198104923988</v>
      </c>
      <c r="G26" s="5">
        <f t="shared" si="0"/>
        <v>312349.68787860841</v>
      </c>
      <c r="H26" s="1">
        <f t="shared" si="1"/>
        <v>20000000</v>
      </c>
      <c r="I26" s="25">
        <f t="shared" si="5"/>
        <v>-0.156</v>
      </c>
      <c r="J26" s="4">
        <f t="shared" si="12"/>
        <v>251.71040286111997</v>
      </c>
      <c r="K26" s="5">
        <f t="shared" si="8"/>
        <v>79456.390251120873</v>
      </c>
      <c r="L26" s="48">
        <f t="shared" si="6"/>
        <v>160899.19025851978</v>
      </c>
      <c r="M26" s="48">
        <f t="shared" si="9"/>
        <v>473248.87813712819</v>
      </c>
      <c r="P26" s="44">
        <f t="shared" si="2"/>
        <v>-0.15784000000000001</v>
      </c>
      <c r="Q26" s="44">
        <f t="shared" si="3"/>
        <v>-0.13978000000000002</v>
      </c>
    </row>
    <row r="28" spans="1:17" ht="45.75" thickBot="1" x14ac:dyDescent="0.3">
      <c r="B28" s="8" t="s">
        <v>43</v>
      </c>
      <c r="C28" s="64" t="s">
        <v>48</v>
      </c>
    </row>
    <row r="29" spans="1:17" ht="43.5" thickBot="1" x14ac:dyDescent="0.3">
      <c r="B29" s="40" t="s">
        <v>20</v>
      </c>
      <c r="C29" s="40" t="s">
        <v>21</v>
      </c>
      <c r="D29" s="40" t="s">
        <v>22</v>
      </c>
      <c r="E29" s="40" t="s">
        <v>19</v>
      </c>
      <c r="F29" s="40" t="s">
        <v>1</v>
      </c>
      <c r="G29" s="40" t="s">
        <v>23</v>
      </c>
      <c r="H29" s="40" t="s">
        <v>24</v>
      </c>
      <c r="I29" s="40" t="s">
        <v>10</v>
      </c>
      <c r="J29" s="40" t="s">
        <v>11</v>
      </c>
      <c r="K29" s="40" t="s">
        <v>25</v>
      </c>
      <c r="L29" s="40" t="s">
        <v>15</v>
      </c>
      <c r="N29" s="53" t="s">
        <v>50</v>
      </c>
      <c r="P29" s="40" t="s">
        <v>35</v>
      </c>
      <c r="Q29" s="40" t="s">
        <v>34</v>
      </c>
    </row>
    <row r="30" spans="1:17" outlineLevel="1" x14ac:dyDescent="0.25">
      <c r="A30" t="s">
        <v>49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N30" s="53"/>
      <c r="P30" s="65"/>
      <c r="Q30" s="65"/>
    </row>
    <row r="31" spans="1:17" outlineLevel="1" x14ac:dyDescent="0.25">
      <c r="B31" s="32">
        <f>B33</f>
        <v>50</v>
      </c>
      <c r="C31" s="33">
        <f>1-G31</f>
        <v>0.878</v>
      </c>
      <c r="D31" s="34">
        <f>B31*C31</f>
        <v>43.9</v>
      </c>
      <c r="E31" s="34">
        <f>$E$33*(1+Q31)</f>
        <v>108.13582944425036</v>
      </c>
      <c r="F31" s="35">
        <f>D31*1000000/E31</f>
        <v>405970.89998401253</v>
      </c>
      <c r="G31" s="66">
        <f>N6</f>
        <v>0.122</v>
      </c>
      <c r="H31" s="34">
        <f>B31-D31</f>
        <v>6.1000000000000014</v>
      </c>
      <c r="I31" s="34">
        <f>$I$33*(1+P31)</f>
        <v>288.06460232306813</v>
      </c>
      <c r="J31" s="35">
        <f>H31*1000000/I31</f>
        <v>21175.80553392247</v>
      </c>
      <c r="K31" s="35">
        <f>J31*27*$P$2/2000</f>
        <v>42881.006206193008</v>
      </c>
      <c r="L31" s="35">
        <f>K31+F31</f>
        <v>448851.90619020554</v>
      </c>
      <c r="N31" s="54"/>
      <c r="P31" s="44">
        <f>-0.4451*G31+0.0202</f>
        <v>-3.4102199999999999E-2</v>
      </c>
      <c r="Q31" s="44">
        <f>-0.3967*G31+0.0189</f>
        <v>-2.94974E-2</v>
      </c>
    </row>
    <row r="32" spans="1:17" outlineLevel="1" x14ac:dyDescent="0.25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N32" s="53"/>
      <c r="P32" s="65"/>
      <c r="Q32" s="65"/>
    </row>
    <row r="33" spans="2:27" x14ac:dyDescent="0.25">
      <c r="B33" s="32">
        <f>B19/1000000</f>
        <v>50</v>
      </c>
      <c r="C33" s="33">
        <v>0.95</v>
      </c>
      <c r="D33" s="34">
        <f>B33*C33</f>
        <v>47.5</v>
      </c>
      <c r="E33" s="55">
        <f>F19</f>
        <v>111.42250360199999</v>
      </c>
      <c r="F33" s="35">
        <f>D33*1000000/E33</f>
        <v>426305.26567298739</v>
      </c>
      <c r="G33" s="33">
        <f>1-C33</f>
        <v>5.0000000000000044E-2</v>
      </c>
      <c r="H33" s="34">
        <f>B33-D33</f>
        <v>2.5</v>
      </c>
      <c r="I33" s="55">
        <f>J19</f>
        <v>298.23507447999998</v>
      </c>
      <c r="J33" s="35">
        <f>H33*1000000/I33</f>
        <v>8382.6491714932508</v>
      </c>
      <c r="K33" s="35">
        <f>J33*27*$P$2/2000</f>
        <v>16974.864572273833</v>
      </c>
      <c r="L33" s="35">
        <f>K33+F33</f>
        <v>443280.13024526124</v>
      </c>
      <c r="N33" s="54">
        <f>(L33-$L$31)/$L$31</f>
        <v>-1.2413394859424302E-2</v>
      </c>
      <c r="P33" s="44">
        <f>-0.4451*G33+0.0202</f>
        <v>-2.0550000000000186E-3</v>
      </c>
      <c r="Q33" s="44">
        <f>-0.3967*G33+0.0189</f>
        <v>-9.3500000000001568E-4</v>
      </c>
    </row>
    <row r="34" spans="2:27" x14ac:dyDescent="0.25">
      <c r="B34" s="32">
        <f>B21/1000000</f>
        <v>50</v>
      </c>
      <c r="C34" s="33">
        <v>0.85</v>
      </c>
      <c r="D34" s="34">
        <f>B34*C34</f>
        <v>42.5</v>
      </c>
      <c r="E34" s="34">
        <f>$E$33*(1+Q34)</f>
        <v>106.89819284324078</v>
      </c>
      <c r="F34" s="35">
        <f t="shared" ref="F34:F36" si="13">D34*1000000/E34</f>
        <v>397574.54143610713</v>
      </c>
      <c r="G34" s="33">
        <f t="shared" ref="G34:G36" si="14">1-C34</f>
        <v>0.15000000000000002</v>
      </c>
      <c r="H34" s="34">
        <f t="shared" ref="H34:H36" si="15">B34-D34</f>
        <v>7.5</v>
      </c>
      <c r="I34" s="34">
        <f t="shared" ref="I34:I36" si="16">$I$33*(1+P34)</f>
        <v>284.34775823683879</v>
      </c>
      <c r="J34" s="35">
        <f t="shared" ref="J34:J36" si="17">H34*1000000/I34</f>
        <v>26376.153082779376</v>
      </c>
      <c r="K34" s="35">
        <f t="shared" ref="K34:K36" si="18">J34*27*$P$2/2000</f>
        <v>53411.709992628239</v>
      </c>
      <c r="L34" s="35">
        <f t="shared" ref="L34:L36" si="19">K34+F34</f>
        <v>450986.25142873538</v>
      </c>
      <c r="N34" s="54">
        <f>(L34-$L$31)/$L$31</f>
        <v>4.7551212529002695E-3</v>
      </c>
      <c r="P34" s="44">
        <f>-0.4451*G34+0.0202</f>
        <v>-4.6565000000000009E-2</v>
      </c>
      <c r="Q34" s="44">
        <f>-0.3967*G34+0.0189</f>
        <v>-4.0605000000000009E-2</v>
      </c>
    </row>
    <row r="35" spans="2:27" x14ac:dyDescent="0.25">
      <c r="B35" s="32">
        <f>B24/1000000</f>
        <v>50</v>
      </c>
      <c r="C35" s="33">
        <v>0.75</v>
      </c>
      <c r="D35" s="34">
        <f>B35*C35</f>
        <v>37.5</v>
      </c>
      <c r="E35" s="34">
        <f>$E$33*(1+Q35)</f>
        <v>102.47806212534944</v>
      </c>
      <c r="F35" s="35">
        <f t="shared" si="13"/>
        <v>365931.97824262752</v>
      </c>
      <c r="G35" s="33">
        <f t="shared" si="14"/>
        <v>0.25</v>
      </c>
      <c r="H35" s="34">
        <f t="shared" si="15"/>
        <v>12.5</v>
      </c>
      <c r="I35" s="34">
        <f t="shared" si="16"/>
        <v>271.07331507173399</v>
      </c>
      <c r="J35" s="35">
        <f t="shared" si="17"/>
        <v>46112.98606316941</v>
      </c>
      <c r="K35" s="35">
        <f t="shared" si="18"/>
        <v>93378.796777918062</v>
      </c>
      <c r="L35" s="35">
        <f t="shared" si="19"/>
        <v>459310.77502054558</v>
      </c>
      <c r="N35" s="54">
        <f>(L35-$L$31)/$L$31</f>
        <v>2.3301380001064291E-2</v>
      </c>
      <c r="P35" s="44">
        <f>-0.4451*G35+0.0202</f>
        <v>-9.1075000000000003E-2</v>
      </c>
      <c r="Q35" s="44">
        <f>-0.3967*G35+0.0189</f>
        <v>-8.0274999999999999E-2</v>
      </c>
      <c r="Z35" s="31">
        <f>L35-L33</f>
        <v>16030.644775284338</v>
      </c>
      <c r="AA35">
        <f>Z35/L33</f>
        <v>3.616368901176506E-2</v>
      </c>
    </row>
    <row r="36" spans="2:27" ht="15.75" thickBot="1" x14ac:dyDescent="0.3">
      <c r="B36" s="36">
        <f>B25/1000000</f>
        <v>50</v>
      </c>
      <c r="C36" s="37">
        <v>0.65</v>
      </c>
      <c r="D36" s="38">
        <f>B36*C36</f>
        <v>32.5</v>
      </c>
      <c r="E36" s="38">
        <f>$E$33*(1+Q36)</f>
        <v>98.057931407458113</v>
      </c>
      <c r="F36" s="39">
        <f t="shared" si="13"/>
        <v>331436.72861049266</v>
      </c>
      <c r="G36" s="37">
        <f t="shared" si="14"/>
        <v>0.35</v>
      </c>
      <c r="H36" s="38">
        <f t="shared" si="15"/>
        <v>17.5</v>
      </c>
      <c r="I36" s="38">
        <f t="shared" si="16"/>
        <v>257.79887190662919</v>
      </c>
      <c r="J36" s="39">
        <f t="shared" si="17"/>
        <v>67882.376174005258</v>
      </c>
      <c r="K36" s="39">
        <f t="shared" si="18"/>
        <v>137461.81175236063</v>
      </c>
      <c r="L36" s="39">
        <f t="shared" si="19"/>
        <v>468898.54036285332</v>
      </c>
      <c r="N36" s="54">
        <f>(L36-$L$31)/$L$31</f>
        <v>4.4662023032944011E-2</v>
      </c>
      <c r="P36" s="44">
        <f>-0.4451*G36+0.0202</f>
        <v>-0.13558499999999998</v>
      </c>
      <c r="Q36" s="44">
        <f>-0.3967*G36+0.0189</f>
        <v>-0.119945</v>
      </c>
    </row>
    <row r="37" spans="2:27" x14ac:dyDescent="0.25">
      <c r="B37"/>
      <c r="C37"/>
      <c r="D37"/>
      <c r="E37"/>
      <c r="F37"/>
      <c r="G37"/>
      <c r="H37"/>
      <c r="I37"/>
    </row>
    <row r="38" spans="2:27" x14ac:dyDescent="0.25">
      <c r="B38"/>
      <c r="C38"/>
      <c r="D38"/>
      <c r="E38"/>
      <c r="F38"/>
      <c r="G38"/>
      <c r="H38"/>
      <c r="I38"/>
    </row>
    <row r="39" spans="2:27" x14ac:dyDescent="0.25">
      <c r="B39"/>
      <c r="C39"/>
      <c r="D39"/>
      <c r="E39"/>
      <c r="F39"/>
      <c r="G39"/>
      <c r="H39"/>
      <c r="I39"/>
    </row>
    <row r="40" spans="2:27" x14ac:dyDescent="0.25">
      <c r="B40"/>
      <c r="C40"/>
      <c r="D40"/>
      <c r="E40"/>
      <c r="F40"/>
      <c r="G40"/>
      <c r="H40"/>
      <c r="I40"/>
    </row>
    <row r="41" spans="2:27" x14ac:dyDescent="0.25">
      <c r="B41"/>
      <c r="C41"/>
      <c r="D41"/>
      <c r="E41"/>
      <c r="F41"/>
      <c r="G41"/>
      <c r="H41"/>
      <c r="I41"/>
    </row>
    <row r="42" spans="2:27" x14ac:dyDescent="0.25">
      <c r="B42"/>
      <c r="C42"/>
      <c r="D42"/>
      <c r="E42"/>
      <c r="F42"/>
      <c r="G42"/>
      <c r="H42"/>
      <c r="I42"/>
      <c r="R42" s="23" t="s">
        <v>33</v>
      </c>
      <c r="S42" s="43"/>
    </row>
    <row r="43" spans="2:27" x14ac:dyDescent="0.25">
      <c r="B43"/>
      <c r="C43"/>
      <c r="D43"/>
      <c r="E43"/>
      <c r="F43"/>
      <c r="G43"/>
      <c r="H43"/>
      <c r="I43"/>
      <c r="P43" s="8"/>
      <c r="Q43" s="8" t="s">
        <v>27</v>
      </c>
      <c r="R43" s="8" t="s">
        <v>26</v>
      </c>
      <c r="S43" s="8" t="s">
        <v>7</v>
      </c>
    </row>
    <row r="44" spans="2:27" x14ac:dyDescent="0.25">
      <c r="B44"/>
      <c r="C44"/>
      <c r="D44"/>
      <c r="E44"/>
      <c r="F44"/>
      <c r="G44"/>
      <c r="H44"/>
      <c r="I44"/>
      <c r="O44" s="9"/>
      <c r="P44" s="29" t="str">
        <f>"Current "&amp;G31*100&amp;"%"</f>
        <v>Current 12.2%</v>
      </c>
      <c r="Q44" s="30">
        <f>F31</f>
        <v>405970.89998401253</v>
      </c>
      <c r="R44" s="30">
        <f>K31</f>
        <v>42881.006206193008</v>
      </c>
      <c r="S44" s="30">
        <f>R44+Q44</f>
        <v>448851.90619020554</v>
      </c>
    </row>
    <row r="45" spans="2:27" x14ac:dyDescent="0.25">
      <c r="B45"/>
      <c r="C45"/>
      <c r="D45"/>
      <c r="E45"/>
      <c r="F45"/>
      <c r="G45"/>
      <c r="H45"/>
      <c r="I45"/>
      <c r="O45" s="67"/>
      <c r="P45" s="28">
        <f>G33</f>
        <v>5.0000000000000044E-2</v>
      </c>
      <c r="Q45" s="30">
        <f>F33</f>
        <v>426305.26567298739</v>
      </c>
      <c r="R45" s="30">
        <f>K33</f>
        <v>16974.864572273833</v>
      </c>
      <c r="S45" s="30">
        <f>R45+Q45</f>
        <v>443280.13024526124</v>
      </c>
    </row>
    <row r="46" spans="2:27" x14ac:dyDescent="0.25">
      <c r="B46"/>
      <c r="C46"/>
      <c r="D46"/>
      <c r="E46"/>
      <c r="F46"/>
      <c r="G46"/>
      <c r="H46"/>
      <c r="I46"/>
      <c r="O46" s="67"/>
      <c r="P46" s="28">
        <f>G34</f>
        <v>0.15000000000000002</v>
      </c>
      <c r="Q46" s="30">
        <f t="shared" ref="Q46:Q48" si="20">F34</f>
        <v>397574.54143610713</v>
      </c>
      <c r="R46" s="30">
        <f t="shared" ref="R46:R48" si="21">K34</f>
        <v>53411.709992628239</v>
      </c>
      <c r="S46" s="30">
        <f t="shared" ref="S46:S48" si="22">R46+Q46</f>
        <v>450986.25142873538</v>
      </c>
    </row>
    <row r="47" spans="2:27" x14ac:dyDescent="0.25">
      <c r="B47"/>
      <c r="C47"/>
      <c r="D47"/>
      <c r="E47"/>
      <c r="F47"/>
      <c r="G47"/>
      <c r="H47"/>
      <c r="I47"/>
      <c r="O47" s="67"/>
      <c r="P47" s="28">
        <f>G35</f>
        <v>0.25</v>
      </c>
      <c r="Q47" s="30">
        <f t="shared" si="20"/>
        <v>365931.97824262752</v>
      </c>
      <c r="R47" s="30">
        <f t="shared" si="21"/>
        <v>93378.796777918062</v>
      </c>
      <c r="S47" s="30">
        <f t="shared" si="22"/>
        <v>459310.77502054558</v>
      </c>
    </row>
    <row r="48" spans="2:27" x14ac:dyDescent="0.25">
      <c r="B48"/>
      <c r="C48"/>
      <c r="D48"/>
      <c r="E48"/>
      <c r="F48"/>
      <c r="G48"/>
      <c r="H48"/>
      <c r="I48"/>
      <c r="O48" s="67"/>
      <c r="P48" s="28">
        <f>G36</f>
        <v>0.35</v>
      </c>
      <c r="Q48" s="30">
        <f t="shared" si="20"/>
        <v>331436.72861049266</v>
      </c>
      <c r="R48" s="30">
        <f t="shared" si="21"/>
        <v>137461.81175236063</v>
      </c>
      <c r="S48" s="30">
        <f t="shared" si="22"/>
        <v>468898.54036285332</v>
      </c>
    </row>
    <row r="49" spans="2:14" x14ac:dyDescent="0.25">
      <c r="B49"/>
      <c r="C49"/>
      <c r="D49"/>
      <c r="E49"/>
      <c r="F49"/>
      <c r="G49"/>
      <c r="H49"/>
      <c r="I49"/>
    </row>
    <row r="53" spans="2:14" x14ac:dyDescent="0.25">
      <c r="N53" s="56" t="s">
        <v>45</v>
      </c>
    </row>
  </sheetData>
  <mergeCells count="1">
    <mergeCell ref="B3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3BF3F-18F6-44CE-80AE-4E3A23F59735}">
  <dimension ref="A1:AA36"/>
  <sheetViews>
    <sheetView showGridLines="0" tabSelected="1" topLeftCell="A3" zoomScale="125" zoomScaleNormal="100" workbookViewId="0">
      <selection activeCell="E45" sqref="E45"/>
    </sheetView>
  </sheetViews>
  <sheetFormatPr defaultColWidth="8.85546875" defaultRowHeight="15" outlineLevelRow="1" x14ac:dyDescent="0.25"/>
  <cols>
    <col min="2" max="2" width="20.28515625" style="8" customWidth="1"/>
    <col min="3" max="3" width="14.140625" style="8" bestFit="1" customWidth="1"/>
    <col min="4" max="4" width="17.42578125" style="8" bestFit="1" customWidth="1"/>
    <col min="5" max="5" width="14.7109375" style="8" customWidth="1"/>
    <col min="6" max="6" width="12.42578125" style="8" bestFit="1" customWidth="1"/>
    <col min="7" max="7" width="15.85546875" style="8" bestFit="1" customWidth="1"/>
    <col min="8" max="8" width="15.42578125" style="8" customWidth="1"/>
    <col min="9" max="9" width="14.42578125" style="8" bestFit="1" customWidth="1"/>
    <col min="10" max="10" width="12.7109375" customWidth="1"/>
    <col min="11" max="12" width="15.85546875" customWidth="1"/>
    <col min="13" max="13" width="15.42578125" customWidth="1"/>
    <col min="14" max="14" width="13.42578125" customWidth="1"/>
    <col min="15" max="15" width="5.7109375" customWidth="1"/>
    <col min="16" max="24" width="13.42578125" customWidth="1"/>
  </cols>
  <sheetData>
    <row r="1" spans="1:20" x14ac:dyDescent="0.25">
      <c r="A1" s="18" t="s">
        <v>116</v>
      </c>
      <c r="N1" s="8"/>
      <c r="O1" s="8" t="s">
        <v>12</v>
      </c>
      <c r="P1" s="8" t="s">
        <v>13</v>
      </c>
    </row>
    <row r="2" spans="1:20" x14ac:dyDescent="0.25">
      <c r="A2" s="108" t="s">
        <v>117</v>
      </c>
      <c r="B2" s="109"/>
      <c r="M2" s="8" t="s">
        <v>28</v>
      </c>
      <c r="N2" s="8"/>
      <c r="O2" s="8">
        <v>145</v>
      </c>
      <c r="P2" s="8">
        <v>150</v>
      </c>
      <c r="Q2" t="s">
        <v>16</v>
      </c>
    </row>
    <row r="3" spans="1:20" x14ac:dyDescent="0.25">
      <c r="M3" s="8"/>
      <c r="N3" s="8"/>
      <c r="O3" s="8"/>
      <c r="P3" s="8"/>
    </row>
    <row r="4" spans="1:20" x14ac:dyDescent="0.25">
      <c r="A4" s="76" t="s">
        <v>128</v>
      </c>
    </row>
    <row r="5" spans="1:20" x14ac:dyDescent="0.25">
      <c r="A5" s="76"/>
      <c r="B5" s="93" t="s">
        <v>109</v>
      </c>
      <c r="C5" s="109" t="s">
        <v>63</v>
      </c>
    </row>
    <row r="6" spans="1:20" x14ac:dyDescent="0.25">
      <c r="B6" s="18" t="s">
        <v>41</v>
      </c>
      <c r="C6" s="112">
        <f>INDEX('Market Share'!P3:P49,MATCH('Material Mass Impact By State'!C5,STATES,0),)</f>
        <v>0.11958311453076116</v>
      </c>
    </row>
    <row r="7" spans="1:20" x14ac:dyDescent="0.25">
      <c r="B7" s="18" t="s">
        <v>118</v>
      </c>
      <c r="C7" s="113">
        <f>INDEX('Avg PCC unit cost'!P2:P48,MATCH('Material Mass Impact By State'!C5,'Avg PCC unit cost'!A2:A48,0),)</f>
        <v>148.65252071155396</v>
      </c>
      <c r="E7" s="41"/>
    </row>
    <row r="8" spans="1:20" x14ac:dyDescent="0.25">
      <c r="B8" s="18" t="s">
        <v>119</v>
      </c>
      <c r="C8" s="113">
        <f>INDEX('Avg AC unit cost'!P2:P48,MATCH('Material Mass Impact By State'!C5,'Avg AC unit cost'!A2:A48,0),)</f>
        <v>77.635161282690817</v>
      </c>
      <c r="D8" s="70"/>
      <c r="E8" s="41"/>
      <c r="M8" s="73"/>
      <c r="N8" s="74"/>
    </row>
    <row r="9" spans="1:20" x14ac:dyDescent="0.25">
      <c r="B9" s="18" t="s">
        <v>123</v>
      </c>
      <c r="C9" s="77">
        <v>100</v>
      </c>
      <c r="M9" s="73"/>
      <c r="N9" s="72"/>
    </row>
    <row r="10" spans="1:20" x14ac:dyDescent="0.25">
      <c r="B10" s="28"/>
      <c r="C10" s="70"/>
      <c r="D10" s="70"/>
      <c r="E10" s="41"/>
      <c r="J10" s="8"/>
      <c r="K10" s="8"/>
      <c r="L10" s="8"/>
      <c r="M10" s="73"/>
      <c r="N10" s="75"/>
    </row>
    <row r="11" spans="1:20" ht="15.75" thickBot="1" x14ac:dyDescent="0.3">
      <c r="A11" s="76" t="s">
        <v>59</v>
      </c>
      <c r="B11" s="28"/>
      <c r="C11" s="70"/>
      <c r="D11" s="70"/>
      <c r="E11" s="41"/>
      <c r="J11" s="8"/>
      <c r="K11" s="8"/>
      <c r="L11" s="8"/>
      <c r="M11" s="68"/>
      <c r="N11" s="69"/>
    </row>
    <row r="12" spans="1:20" ht="45.75" thickBot="1" x14ac:dyDescent="0.3">
      <c r="A12" s="94"/>
      <c r="B12" s="95" t="s">
        <v>20</v>
      </c>
      <c r="C12" s="95" t="s">
        <v>21</v>
      </c>
      <c r="D12" s="95" t="s">
        <v>22</v>
      </c>
      <c r="E12" s="95" t="s">
        <v>120</v>
      </c>
      <c r="F12" s="95" t="s">
        <v>1</v>
      </c>
      <c r="G12" s="95" t="s">
        <v>23</v>
      </c>
      <c r="H12" s="95" t="s">
        <v>24</v>
      </c>
      <c r="I12" s="95" t="s">
        <v>121</v>
      </c>
      <c r="J12" s="95" t="s">
        <v>11</v>
      </c>
      <c r="K12" s="95" t="s">
        <v>25</v>
      </c>
      <c r="L12" s="95" t="s">
        <v>15</v>
      </c>
      <c r="M12" s="94"/>
      <c r="N12" s="96" t="s">
        <v>50</v>
      </c>
      <c r="O12" s="94"/>
      <c r="P12" s="95" t="s">
        <v>35</v>
      </c>
      <c r="Q12" s="95" t="s">
        <v>34</v>
      </c>
      <c r="R12" s="94"/>
      <c r="S12" s="94"/>
      <c r="T12" s="94"/>
    </row>
    <row r="13" spans="1:20" outlineLevel="1" x14ac:dyDescent="0.25">
      <c r="A13" s="94" t="s">
        <v>49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4"/>
      <c r="N13" s="96"/>
      <c r="O13" s="94"/>
      <c r="P13" s="97"/>
      <c r="Q13" s="97"/>
      <c r="R13" s="94"/>
      <c r="S13" s="94"/>
      <c r="T13" s="94"/>
    </row>
    <row r="14" spans="1:20" outlineLevel="1" x14ac:dyDescent="0.25">
      <c r="A14" s="94"/>
      <c r="B14" s="98">
        <f>C9</f>
        <v>100</v>
      </c>
      <c r="C14" s="99">
        <f>1-G14</f>
        <v>0.8804168854692388</v>
      </c>
      <c r="D14" s="71">
        <f>B14*C14</f>
        <v>88.041688546923879</v>
      </c>
      <c r="E14" s="71">
        <f>C8</f>
        <v>77.635161282690817</v>
      </c>
      <c r="F14" s="100">
        <f>D14*1000000/E14</f>
        <v>1134043.9962034735</v>
      </c>
      <c r="G14" s="101">
        <f>C6</f>
        <v>0.11958311453076116</v>
      </c>
      <c r="H14" s="71">
        <f>B14-D14</f>
        <v>11.958311453076121</v>
      </c>
      <c r="I14" s="71">
        <f>C7</f>
        <v>148.65252071155396</v>
      </c>
      <c r="J14" s="100">
        <f>H14*1000000/I14</f>
        <v>80444.72704421934</v>
      </c>
      <c r="K14" s="100">
        <f>J14*27*$P$2/2000</f>
        <v>162900.57226454417</v>
      </c>
      <c r="L14" s="100">
        <f>K14+F14</f>
        <v>1296944.5684680177</v>
      </c>
      <c r="M14" s="94"/>
      <c r="N14" s="54"/>
      <c r="O14" s="94"/>
      <c r="P14" s="44"/>
      <c r="Q14" s="44"/>
      <c r="R14" s="94"/>
      <c r="S14" s="94"/>
      <c r="T14" s="94"/>
    </row>
    <row r="15" spans="1:20" outlineLevel="1" x14ac:dyDescent="0.25">
      <c r="A15" s="94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4"/>
      <c r="N15" s="96"/>
      <c r="O15" s="94"/>
      <c r="P15" s="97"/>
      <c r="Q15" s="97"/>
      <c r="R15" s="94"/>
      <c r="S15" s="94"/>
      <c r="T15" s="94"/>
    </row>
    <row r="16" spans="1:20" x14ac:dyDescent="0.25">
      <c r="A16" s="94"/>
      <c r="B16" s="98">
        <f>B14</f>
        <v>100</v>
      </c>
      <c r="C16" s="114">
        <f>CEILING(C14,0.05)</f>
        <v>0.9</v>
      </c>
      <c r="D16" s="71">
        <f>B16*C16</f>
        <v>90</v>
      </c>
      <c r="E16" s="71">
        <f>$E$14*EXP(0.34*(MAX(C16, G16)-MAX($C$14, $G$14)))</f>
        <v>78.153800992091902</v>
      </c>
      <c r="F16" s="100">
        <f>D16*1000000/E16</f>
        <v>1151575.4685956575</v>
      </c>
      <c r="G16" s="99">
        <f>1-C16</f>
        <v>9.9999999999999978E-2</v>
      </c>
      <c r="H16" s="71">
        <f>B16-D16</f>
        <v>10</v>
      </c>
      <c r="I16" s="71">
        <f>$I$14*EXP(1.39*(MAX(C16, G16)-MAX($C$14, $G$14)))</f>
        <v>152.75449669110114</v>
      </c>
      <c r="J16" s="100">
        <f>H16*1000000/I16</f>
        <v>65464.521284908005</v>
      </c>
      <c r="K16" s="100">
        <f>J16*27*$P$2/2000</f>
        <v>132565.65560193872</v>
      </c>
      <c r="L16" s="100">
        <f>K16+F16</f>
        <v>1284141.1241975962</v>
      </c>
      <c r="M16" s="94"/>
      <c r="N16" s="54">
        <f>(L16-$L$14)/$L$14</f>
        <v>-9.8720057755014579E-3</v>
      </c>
      <c r="O16" s="94"/>
      <c r="P16" s="44">
        <f>EXP(1.39*(MAX(C16, G16)-MAX($C$14, $G$14)))-1</f>
        <v>2.7594392344726382E-2</v>
      </c>
      <c r="Q16" s="44">
        <f>EXP(0.34*(MAX(C16, G16)-MAX($C$14, $G$14)))-1</f>
        <v>6.6804744246304892E-3</v>
      </c>
      <c r="R16" s="94"/>
      <c r="S16" s="94"/>
      <c r="T16" s="94"/>
    </row>
    <row r="17" spans="1:27" x14ac:dyDescent="0.25">
      <c r="A17" s="94"/>
      <c r="B17" s="98">
        <f>B16</f>
        <v>100</v>
      </c>
      <c r="C17" s="114">
        <f>C16-0.05</f>
        <v>0.85</v>
      </c>
      <c r="D17" s="71">
        <f>B17*C17</f>
        <v>85</v>
      </c>
      <c r="E17" s="71">
        <f t="shared" ref="E17:E19" si="0">$E$14*EXP(0.34*(MAX(C17, G17)-MAX($C$14, $G$14)))</f>
        <v>76.836415875588671</v>
      </c>
      <c r="F17" s="100">
        <f t="shared" ref="F17:F19" si="1">D17*1000000/E17</f>
        <v>1106246.2900095389</v>
      </c>
      <c r="G17" s="99">
        <f t="shared" ref="G17:G19" si="2">1-C17</f>
        <v>0.15000000000000002</v>
      </c>
      <c r="H17" s="71">
        <f t="shared" ref="H17:H19" si="3">B17-D17</f>
        <v>15</v>
      </c>
      <c r="I17" s="71">
        <f t="shared" ref="I17:I19" si="4">$I$14*EXP(1.39*(MAX(C17, G17)-MAX($C$14, $G$14)))</f>
        <v>142.4985801583513</v>
      </c>
      <c r="J17" s="100">
        <f t="shared" ref="J17:J19" si="5">H17*1000000/I17</f>
        <v>105264.20672634966</v>
      </c>
      <c r="K17" s="100">
        <f t="shared" ref="K17:K19" si="6">J17*27*$P$2/2000</f>
        <v>213160.01862085806</v>
      </c>
      <c r="L17" s="100">
        <f t="shared" ref="L17:L19" si="7">K17+F17</f>
        <v>1319406.3086303968</v>
      </c>
      <c r="M17" s="94"/>
      <c r="N17" s="54">
        <f>(L17-$L$14)/$L$14</f>
        <v>1.731896698477365E-2</v>
      </c>
      <c r="O17" s="94"/>
      <c r="P17" s="44">
        <f t="shared" ref="P17:P19" si="8">EXP(1.39*(MAX(C17, G17)-MAX($C$14, $G$14)))-1</f>
        <v>-4.139815809207692E-2</v>
      </c>
      <c r="Q17" s="44">
        <f t="shared" ref="Q17:Q19" si="9">EXP(0.34*(MAX(C17, G17)-MAX($C$14, $G$14)))-1</f>
        <v>-1.0288449124149945E-2</v>
      </c>
      <c r="R17" s="94"/>
      <c r="S17" s="94"/>
      <c r="T17" s="94"/>
    </row>
    <row r="18" spans="1:27" x14ac:dyDescent="0.25">
      <c r="A18" s="94"/>
      <c r="B18" s="98">
        <f>B17</f>
        <v>100</v>
      </c>
      <c r="C18" s="114">
        <f t="shared" ref="C18:C19" si="10">C17-0.05</f>
        <v>0.79999999999999993</v>
      </c>
      <c r="D18" s="71">
        <f>B18*C18</f>
        <v>80</v>
      </c>
      <c r="E18" s="71">
        <f t="shared" si="0"/>
        <v>75.541237018066511</v>
      </c>
      <c r="F18" s="100">
        <f t="shared" si="1"/>
        <v>1059024.2251509216</v>
      </c>
      <c r="G18" s="99">
        <f t="shared" si="2"/>
        <v>0.20000000000000007</v>
      </c>
      <c r="H18" s="71">
        <f t="shared" si="3"/>
        <v>20</v>
      </c>
      <c r="I18" s="71">
        <f t="shared" si="4"/>
        <v>132.93124449362944</v>
      </c>
      <c r="J18" s="100">
        <f t="shared" si="5"/>
        <v>150453.71820737355</v>
      </c>
      <c r="K18" s="100">
        <f t="shared" si="6"/>
        <v>304668.77936993138</v>
      </c>
      <c r="L18" s="100">
        <f t="shared" si="7"/>
        <v>1363693.0045208531</v>
      </c>
      <c r="M18" s="94"/>
      <c r="N18" s="54">
        <f>(L18-$L$14)/$L$14</f>
        <v>5.1465912788917552E-2</v>
      </c>
      <c r="O18" s="94"/>
      <c r="P18" s="44">
        <f t="shared" si="8"/>
        <v>-0.10575855789509392</v>
      </c>
      <c r="Q18" s="44">
        <f t="shared" si="9"/>
        <v>-2.6971339146185991E-2</v>
      </c>
      <c r="R18" s="94"/>
      <c r="S18" s="94"/>
      <c r="T18" s="94"/>
      <c r="Z18" s="31">
        <f>L18-L16</f>
        <v>79551.880323256832</v>
      </c>
      <c r="AA18">
        <f>Z18/L16</f>
        <v>6.1949484230532162E-2</v>
      </c>
    </row>
    <row r="19" spans="1:27" ht="15.75" thickBot="1" x14ac:dyDescent="0.3">
      <c r="A19" s="94"/>
      <c r="B19" s="103">
        <f>B18</f>
        <v>100</v>
      </c>
      <c r="C19" s="115">
        <f t="shared" si="10"/>
        <v>0.74999999999999989</v>
      </c>
      <c r="D19" s="105">
        <f>B19*C19</f>
        <v>74.999999999999986</v>
      </c>
      <c r="E19" s="105">
        <f t="shared" si="0"/>
        <v>74.267890103820946</v>
      </c>
      <c r="F19" s="106">
        <f t="shared" si="1"/>
        <v>1009857.6907887864</v>
      </c>
      <c r="G19" s="107">
        <f t="shared" si="2"/>
        <v>0.25000000000000011</v>
      </c>
      <c r="H19" s="105">
        <f t="shared" si="3"/>
        <v>25.000000000000014</v>
      </c>
      <c r="I19" s="105">
        <f t="shared" si="4"/>
        <v>124.00625846930218</v>
      </c>
      <c r="J19" s="106">
        <f t="shared" si="5"/>
        <v>201602.7280283501</v>
      </c>
      <c r="K19" s="106">
        <f t="shared" si="6"/>
        <v>408245.52425740892</v>
      </c>
      <c r="L19" s="106">
        <f t="shared" si="7"/>
        <v>1418103.2150461953</v>
      </c>
      <c r="M19" s="94"/>
      <c r="N19" s="54">
        <f>(L19-$L$14)/$L$14</f>
        <v>9.3418523446451601E-2</v>
      </c>
      <c r="O19" s="94"/>
      <c r="P19" s="44">
        <f t="shared" si="8"/>
        <v>-0.16579780904001962</v>
      </c>
      <c r="Q19" s="44">
        <f t="shared" si="9"/>
        <v>-4.3373017112809387E-2</v>
      </c>
      <c r="R19" s="94"/>
      <c r="S19" s="94"/>
      <c r="T19" s="94"/>
    </row>
    <row r="20" spans="1:27" x14ac:dyDescent="0.25">
      <c r="B20"/>
      <c r="C20"/>
      <c r="D20"/>
      <c r="E20"/>
      <c r="F20"/>
      <c r="G20"/>
      <c r="H20"/>
      <c r="I20"/>
    </row>
    <row r="21" spans="1:27" x14ac:dyDescent="0.25">
      <c r="B21"/>
      <c r="C21"/>
      <c r="D21"/>
      <c r="E21"/>
      <c r="F21"/>
      <c r="G21"/>
      <c r="H21"/>
      <c r="I21"/>
    </row>
    <row r="22" spans="1:27" x14ac:dyDescent="0.25">
      <c r="B22"/>
      <c r="C22"/>
      <c r="D22"/>
      <c r="E22"/>
      <c r="F22"/>
      <c r="G22"/>
      <c r="H22"/>
      <c r="I22"/>
    </row>
    <row r="23" spans="1:27" x14ac:dyDescent="0.25">
      <c r="B23"/>
      <c r="C23"/>
      <c r="D23"/>
      <c r="E23"/>
      <c r="F23"/>
      <c r="G23"/>
      <c r="H23"/>
      <c r="I23"/>
    </row>
    <row r="24" spans="1:27" x14ac:dyDescent="0.25">
      <c r="B24"/>
      <c r="C24"/>
      <c r="D24"/>
      <c r="E24"/>
      <c r="F24"/>
      <c r="G24"/>
      <c r="H24"/>
      <c r="I24"/>
    </row>
    <row r="25" spans="1:27" x14ac:dyDescent="0.25">
      <c r="B25"/>
      <c r="C25"/>
      <c r="D25"/>
      <c r="E25"/>
      <c r="F25"/>
      <c r="G25"/>
      <c r="H25"/>
      <c r="I25"/>
      <c r="P25" s="80"/>
      <c r="Q25" s="80"/>
      <c r="R25" s="82" t="s">
        <v>33</v>
      </c>
      <c r="S25" s="83"/>
    </row>
    <row r="26" spans="1:27" x14ac:dyDescent="0.25">
      <c r="B26"/>
      <c r="C26"/>
      <c r="D26"/>
      <c r="E26"/>
      <c r="F26"/>
      <c r="G26"/>
      <c r="H26"/>
      <c r="I26"/>
      <c r="P26" s="84"/>
      <c r="Q26" s="84" t="s">
        <v>27</v>
      </c>
      <c r="R26" s="84" t="s">
        <v>26</v>
      </c>
      <c r="S26" s="84" t="s">
        <v>7</v>
      </c>
    </row>
    <row r="27" spans="1:27" x14ac:dyDescent="0.25">
      <c r="B27"/>
      <c r="C27"/>
      <c r="D27"/>
      <c r="E27"/>
      <c r="F27"/>
      <c r="G27"/>
      <c r="H27"/>
      <c r="I27"/>
      <c r="O27" s="9"/>
      <c r="P27" s="87" t="str">
        <f>"Current "&amp;ROUND(G14,3)*100&amp;"%"</f>
        <v>Current 12%</v>
      </c>
      <c r="Q27" s="86">
        <f>F14</f>
        <v>1134043.9962034735</v>
      </c>
      <c r="R27" s="86">
        <f>K14</f>
        <v>162900.57226454417</v>
      </c>
      <c r="S27" s="86">
        <f>R27+Q27</f>
        <v>1296944.5684680177</v>
      </c>
    </row>
    <row r="28" spans="1:27" x14ac:dyDescent="0.25">
      <c r="B28"/>
      <c r="C28"/>
      <c r="D28"/>
      <c r="E28"/>
      <c r="F28"/>
      <c r="G28"/>
      <c r="H28"/>
      <c r="I28"/>
      <c r="O28" s="67"/>
      <c r="P28" s="87">
        <f>G16</f>
        <v>9.9999999999999978E-2</v>
      </c>
      <c r="Q28" s="86">
        <f>F16</f>
        <v>1151575.4685956575</v>
      </c>
      <c r="R28" s="86">
        <f>K16</f>
        <v>132565.65560193872</v>
      </c>
      <c r="S28" s="86">
        <f>R28+Q28</f>
        <v>1284141.1241975962</v>
      </c>
    </row>
    <row r="29" spans="1:27" x14ac:dyDescent="0.25">
      <c r="B29"/>
      <c r="C29"/>
      <c r="D29"/>
      <c r="E29"/>
      <c r="F29"/>
      <c r="G29"/>
      <c r="H29"/>
      <c r="I29"/>
      <c r="O29" s="67"/>
      <c r="P29" s="87">
        <f>G17</f>
        <v>0.15000000000000002</v>
      </c>
      <c r="Q29" s="86">
        <f t="shared" ref="Q29:Q31" si="11">F17</f>
        <v>1106246.2900095389</v>
      </c>
      <c r="R29" s="86">
        <f t="shared" ref="R29:R31" si="12">K17</f>
        <v>213160.01862085806</v>
      </c>
      <c r="S29" s="86">
        <f t="shared" ref="S29:S31" si="13">R29+Q29</f>
        <v>1319406.3086303968</v>
      </c>
    </row>
    <row r="30" spans="1:27" x14ac:dyDescent="0.25">
      <c r="B30"/>
      <c r="C30"/>
      <c r="D30"/>
      <c r="E30"/>
      <c r="F30"/>
      <c r="G30"/>
      <c r="H30"/>
      <c r="I30"/>
      <c r="O30" s="67"/>
      <c r="P30" s="87">
        <f>G18</f>
        <v>0.20000000000000007</v>
      </c>
      <c r="Q30" s="86">
        <f t="shared" si="11"/>
        <v>1059024.2251509216</v>
      </c>
      <c r="R30" s="86">
        <f t="shared" si="12"/>
        <v>304668.77936993138</v>
      </c>
      <c r="S30" s="86">
        <f t="shared" si="13"/>
        <v>1363693.0045208531</v>
      </c>
    </row>
    <row r="31" spans="1:27" x14ac:dyDescent="0.25">
      <c r="B31"/>
      <c r="C31"/>
      <c r="D31"/>
      <c r="E31"/>
      <c r="F31"/>
      <c r="G31"/>
      <c r="H31"/>
      <c r="I31"/>
      <c r="O31" s="67"/>
      <c r="P31" s="87">
        <f>G19</f>
        <v>0.25000000000000011</v>
      </c>
      <c r="Q31" s="86">
        <f t="shared" si="11"/>
        <v>1009857.6907887864</v>
      </c>
      <c r="R31" s="86">
        <f t="shared" si="12"/>
        <v>408245.52425740892</v>
      </c>
      <c r="S31" s="86">
        <f t="shared" si="13"/>
        <v>1418103.2150461953</v>
      </c>
    </row>
    <row r="32" spans="1:27" x14ac:dyDescent="0.25">
      <c r="B32"/>
      <c r="C32"/>
      <c r="D32"/>
      <c r="E32"/>
      <c r="F32"/>
      <c r="G32"/>
      <c r="H32"/>
      <c r="I32"/>
    </row>
    <row r="36" spans="14:14" x14ac:dyDescent="0.25">
      <c r="N36" s="56" t="s">
        <v>45</v>
      </c>
    </row>
  </sheetData>
  <dataValidations count="1">
    <dataValidation type="list" allowBlank="1" showInputMessage="1" showErrorMessage="1" sqref="C5" xr:uid="{63FA19BA-9ADE-4F10-93B1-2B85815D6918}">
      <formula1>STATES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2"/>
  <sheetViews>
    <sheetView showGridLines="0" zoomScaleNormal="100" workbookViewId="0">
      <selection activeCell="G46" sqref="G46"/>
    </sheetView>
  </sheetViews>
  <sheetFormatPr defaultColWidth="8.85546875" defaultRowHeight="15" outlineLevelRow="1" x14ac:dyDescent="0.25"/>
  <cols>
    <col min="2" max="2" width="20.28515625" style="8" customWidth="1"/>
    <col min="3" max="3" width="14.140625" style="8" bestFit="1" customWidth="1"/>
    <col min="4" max="4" width="17.42578125" style="8" bestFit="1" customWidth="1"/>
    <col min="5" max="5" width="14.7109375" style="8" customWidth="1"/>
    <col min="6" max="6" width="12.42578125" style="8" bestFit="1" customWidth="1"/>
    <col min="7" max="7" width="15.85546875" style="8" bestFit="1" customWidth="1"/>
    <col min="8" max="8" width="15.42578125" style="8" customWidth="1"/>
    <col min="9" max="9" width="14.42578125" style="8" bestFit="1" customWidth="1"/>
    <col min="10" max="10" width="12.7109375" customWidth="1"/>
    <col min="11" max="12" width="15.85546875" customWidth="1"/>
    <col min="13" max="13" width="15.42578125" customWidth="1"/>
    <col min="14" max="14" width="13.42578125" customWidth="1"/>
    <col min="15" max="15" width="5.7109375" customWidth="1"/>
    <col min="16" max="24" width="13.42578125" customWidth="1"/>
  </cols>
  <sheetData>
    <row r="1" spans="1:17" x14ac:dyDescent="0.25">
      <c r="A1" s="18" t="s">
        <v>115</v>
      </c>
      <c r="N1" s="8"/>
      <c r="O1" s="8" t="s">
        <v>12</v>
      </c>
      <c r="P1" s="8" t="s">
        <v>13</v>
      </c>
    </row>
    <row r="2" spans="1:17" x14ac:dyDescent="0.25">
      <c r="A2" s="108" t="s">
        <v>117</v>
      </c>
      <c r="M2" s="8" t="s">
        <v>28</v>
      </c>
      <c r="N2" s="8"/>
      <c r="O2" s="8">
        <v>145</v>
      </c>
      <c r="P2" s="8">
        <v>150</v>
      </c>
      <c r="Q2" t="s">
        <v>16</v>
      </c>
    </row>
    <row r="3" spans="1:17" x14ac:dyDescent="0.25">
      <c r="M3" s="8"/>
      <c r="N3" s="8"/>
      <c r="O3" s="8"/>
      <c r="P3" s="8"/>
    </row>
    <row r="4" spans="1:17" x14ac:dyDescent="0.25">
      <c r="A4" s="76" t="s">
        <v>40</v>
      </c>
    </row>
    <row r="5" spans="1:17" x14ac:dyDescent="0.25">
      <c r="B5" s="18" t="s">
        <v>41</v>
      </c>
      <c r="C5" s="110">
        <v>0.05</v>
      </c>
    </row>
    <row r="6" spans="1:17" x14ac:dyDescent="0.25">
      <c r="B6" s="18" t="s">
        <v>118</v>
      </c>
      <c r="C6" s="111">
        <v>175</v>
      </c>
      <c r="E6" s="41"/>
    </row>
    <row r="7" spans="1:17" x14ac:dyDescent="0.25">
      <c r="B7" s="18" t="s">
        <v>119</v>
      </c>
      <c r="C7" s="111">
        <v>65</v>
      </c>
      <c r="D7" s="70"/>
      <c r="E7" s="41"/>
      <c r="M7" s="73"/>
      <c r="N7" s="74"/>
    </row>
    <row r="8" spans="1:17" x14ac:dyDescent="0.25">
      <c r="B8" s="18" t="s">
        <v>123</v>
      </c>
      <c r="C8" s="77">
        <v>100</v>
      </c>
      <c r="D8" s="70"/>
      <c r="M8" s="73"/>
      <c r="N8" s="72"/>
    </row>
    <row r="9" spans="1:17" x14ac:dyDescent="0.25">
      <c r="B9" s="28"/>
      <c r="C9" s="70"/>
      <c r="D9" s="70"/>
      <c r="E9" s="41"/>
      <c r="J9" s="8"/>
      <c r="K9" s="8"/>
      <c r="L9" s="8"/>
      <c r="M9" s="73"/>
      <c r="N9" s="75"/>
    </row>
    <row r="10" spans="1:17" ht="15.75" thickBot="1" x14ac:dyDescent="0.3">
      <c r="A10" s="76" t="s">
        <v>59</v>
      </c>
      <c r="B10" s="28"/>
      <c r="C10" s="70"/>
      <c r="D10" s="70"/>
      <c r="E10" s="41"/>
      <c r="J10" s="8"/>
      <c r="K10" s="8"/>
      <c r="L10" s="8"/>
      <c r="M10" s="68"/>
      <c r="N10" s="69"/>
    </row>
    <row r="11" spans="1:17" ht="45.75" thickBot="1" x14ac:dyDescent="0.3">
      <c r="A11" s="94"/>
      <c r="B11" s="95" t="s">
        <v>20</v>
      </c>
      <c r="C11" s="95" t="s">
        <v>21</v>
      </c>
      <c r="D11" s="95" t="s">
        <v>22</v>
      </c>
      <c r="E11" s="95" t="s">
        <v>120</v>
      </c>
      <c r="F11" s="95" t="s">
        <v>1</v>
      </c>
      <c r="G11" s="95" t="s">
        <v>23</v>
      </c>
      <c r="H11" s="95" t="s">
        <v>24</v>
      </c>
      <c r="I11" s="95" t="s">
        <v>121</v>
      </c>
      <c r="J11" s="95" t="s">
        <v>11</v>
      </c>
      <c r="K11" s="95" t="s">
        <v>25</v>
      </c>
      <c r="L11" s="95" t="s">
        <v>15</v>
      </c>
      <c r="M11" s="94"/>
      <c r="N11" s="96" t="s">
        <v>50</v>
      </c>
      <c r="O11" s="94"/>
      <c r="P11" s="95" t="s">
        <v>35</v>
      </c>
      <c r="Q11" s="95" t="s">
        <v>34</v>
      </c>
    </row>
    <row r="12" spans="1:17" outlineLevel="1" x14ac:dyDescent="0.25">
      <c r="A12" s="94" t="s">
        <v>49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4"/>
      <c r="N12" s="96"/>
      <c r="O12" s="94"/>
      <c r="P12" s="97"/>
      <c r="Q12" s="97"/>
    </row>
    <row r="13" spans="1:17" outlineLevel="1" x14ac:dyDescent="0.25">
      <c r="A13" s="94"/>
      <c r="B13" s="98">
        <f>C8</f>
        <v>100</v>
      </c>
      <c r="C13" s="99">
        <f>1-G13</f>
        <v>0.95</v>
      </c>
      <c r="D13" s="71">
        <f>B13*C13</f>
        <v>95</v>
      </c>
      <c r="E13" s="71">
        <f>C7</f>
        <v>65</v>
      </c>
      <c r="F13" s="100">
        <f>D13*1000000/E13</f>
        <v>1461538.4615384615</v>
      </c>
      <c r="G13" s="101">
        <f>C5</f>
        <v>0.05</v>
      </c>
      <c r="H13" s="71">
        <f>B13-D13</f>
        <v>5</v>
      </c>
      <c r="I13" s="71">
        <f>C6</f>
        <v>175</v>
      </c>
      <c r="J13" s="100">
        <f>H13*1000000/I13</f>
        <v>28571.428571428572</v>
      </c>
      <c r="K13" s="100">
        <f>J13*27*$P$2/2000</f>
        <v>57857.142857142855</v>
      </c>
      <c r="L13" s="100">
        <f>K13+F13</f>
        <v>1519395.6043956045</v>
      </c>
      <c r="M13" s="94"/>
      <c r="N13" s="54"/>
      <c r="O13" s="94"/>
      <c r="P13" s="44"/>
      <c r="Q13" s="44"/>
    </row>
    <row r="14" spans="1:17" outlineLevel="1" x14ac:dyDescent="0.25">
      <c r="A14" s="94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4"/>
      <c r="N14" s="96"/>
      <c r="O14" s="94"/>
      <c r="P14" s="97"/>
      <c r="Q14" s="97"/>
    </row>
    <row r="15" spans="1:17" x14ac:dyDescent="0.25">
      <c r="A15" s="94"/>
      <c r="B15" s="98">
        <f>B13</f>
        <v>100</v>
      </c>
      <c r="C15" s="102">
        <v>0.9</v>
      </c>
      <c r="D15" s="71">
        <f>B15*C15</f>
        <v>90</v>
      </c>
      <c r="E15" s="71">
        <f>$E$13*EXP(0.34*(MAX(C15, G15)-MAX($C$13, $G$13)))</f>
        <v>63.904339501269128</v>
      </c>
      <c r="F15" s="100">
        <f>D15*1000000/E15</f>
        <v>1408355.0616811025</v>
      </c>
      <c r="G15" s="99">
        <f>1-C15</f>
        <v>9.9999999999999978E-2</v>
      </c>
      <c r="H15" s="71">
        <f>B15-D15</f>
        <v>10</v>
      </c>
      <c r="I15" s="71">
        <f>$I$13*EXP(1.39*(MAX(C15, G15)-MAX($C$13, $G$13)))</f>
        <v>163.25052334229733</v>
      </c>
      <c r="J15" s="100">
        <f>H15*1000000/I15</f>
        <v>61255.546354558326</v>
      </c>
      <c r="K15" s="100">
        <f>J15*27*$P$2/2000</f>
        <v>124042.48136798061</v>
      </c>
      <c r="L15" s="100">
        <f>K15+F15</f>
        <v>1532397.5430490831</v>
      </c>
      <c r="M15" s="94"/>
      <c r="N15" s="54">
        <f>(L15-$L$13)/$L$13</f>
        <v>8.5573096406650669E-3</v>
      </c>
      <c r="O15" s="94"/>
      <c r="P15" s="44">
        <f>EXP(1.39*(MAX(C15, G15)-MAX($C$13, $G$13)))-1</f>
        <v>-6.7139866615443911E-2</v>
      </c>
      <c r="Q15" s="44">
        <f>EXP(0.34*(MAX(C15, G15)-MAX($C$13, $G$13)))-1</f>
        <v>-1.6856315365090357E-2</v>
      </c>
    </row>
    <row r="16" spans="1:17" x14ac:dyDescent="0.25">
      <c r="A16" s="94"/>
      <c r="B16" s="98">
        <f>B15</f>
        <v>100</v>
      </c>
      <c r="C16" s="102">
        <v>0.85</v>
      </c>
      <c r="D16" s="71">
        <f>B16*C16</f>
        <v>85</v>
      </c>
      <c r="E16" s="71">
        <f t="shared" ref="E16:E18" si="0">$E$13*EXP(0.34*(MAX(C16, G16)-MAX($C$13, $G$13)))</f>
        <v>62.827147801437931</v>
      </c>
      <c r="F16" s="100">
        <f t="shared" ref="F16:F18" si="1">D16*1000000/E16</f>
        <v>1352918.3318752311</v>
      </c>
      <c r="G16" s="99">
        <f t="shared" ref="G16:G18" si="2">1-C16</f>
        <v>0.15000000000000002</v>
      </c>
      <c r="H16" s="71">
        <f t="shared" ref="H16:H18" si="3">B16-D16</f>
        <v>15</v>
      </c>
      <c r="I16" s="71">
        <f t="shared" ref="I16:I18" si="4">$I$13*EXP(1.39*(MAX(C16, G16)-MAX($C$13, $G$13)))</f>
        <v>152.28990498019405</v>
      </c>
      <c r="J16" s="100">
        <f t="shared" ref="J16:J18" si="5">H16*1000000/I16</f>
        <v>98496.351428880414</v>
      </c>
      <c r="K16" s="100">
        <f t="shared" ref="K16:K18" si="6">J16*27*$P$2/2000</f>
        <v>199455.11164348284</v>
      </c>
      <c r="L16" s="100">
        <f t="shared" ref="L16:L18" si="7">K16+F16</f>
        <v>1552373.443518714</v>
      </c>
      <c r="M16" s="94"/>
      <c r="N16" s="54">
        <f>(L16-$L$13)/$L$13</f>
        <v>2.1704577154037338E-2</v>
      </c>
      <c r="O16" s="94"/>
      <c r="P16" s="44">
        <f t="shared" ref="P16:P18" si="8">EXP(1.39*(MAX(C16, G16)-MAX($C$13, $G$13)))-1</f>
        <v>-0.12977197154174835</v>
      </c>
      <c r="Q16" s="44">
        <f t="shared" ref="Q16:Q18" si="9">EXP(0.34*(MAX(C16, G16)-MAX($C$13, $G$13)))-1</f>
        <v>-3.3428495362493371E-2</v>
      </c>
    </row>
    <row r="17" spans="1:27" x14ac:dyDescent="0.25">
      <c r="A17" s="94"/>
      <c r="B17" s="98">
        <f>B16</f>
        <v>100</v>
      </c>
      <c r="C17" s="102">
        <v>0.8</v>
      </c>
      <c r="D17" s="71">
        <f>B17*C17</f>
        <v>80</v>
      </c>
      <c r="E17" s="71">
        <f t="shared" si="0"/>
        <v>61.768113584607754</v>
      </c>
      <c r="F17" s="100">
        <f t="shared" si="1"/>
        <v>1295166.6378870201</v>
      </c>
      <c r="G17" s="99">
        <f t="shared" si="2"/>
        <v>0.19999999999999996</v>
      </c>
      <c r="H17" s="71">
        <f t="shared" si="3"/>
        <v>20</v>
      </c>
      <c r="I17" s="71">
        <f t="shared" si="4"/>
        <v>142.06518107294519</v>
      </c>
      <c r="J17" s="100">
        <f t="shared" si="5"/>
        <v>140780.44914982188</v>
      </c>
      <c r="K17" s="100">
        <f t="shared" si="6"/>
        <v>285080.40952838934</v>
      </c>
      <c r="L17" s="100">
        <f t="shared" si="7"/>
        <v>1580247.0474154095</v>
      </c>
      <c r="M17" s="94"/>
      <c r="N17" s="54">
        <f>(L17-$L$13)/$L$13</f>
        <v>4.0049769029054758E-2</v>
      </c>
      <c r="O17" s="94"/>
      <c r="P17" s="44">
        <f t="shared" si="8"/>
        <v>-0.18819896529745606</v>
      </c>
      <c r="Q17" s="44">
        <f t="shared" si="9"/>
        <v>-4.9721329467573017E-2</v>
      </c>
      <c r="Z17" s="31">
        <f>L17-L15</f>
        <v>47849.504366326379</v>
      </c>
      <c r="AA17">
        <f>Z17/L15</f>
        <v>3.1225255210940876E-2</v>
      </c>
    </row>
    <row r="18" spans="1:27" ht="15.75" thickBot="1" x14ac:dyDescent="0.3">
      <c r="A18" s="94"/>
      <c r="B18" s="103">
        <f>B17</f>
        <v>100</v>
      </c>
      <c r="C18" s="104">
        <v>0.75</v>
      </c>
      <c r="D18" s="105">
        <f>B18*C18</f>
        <v>75</v>
      </c>
      <c r="E18" s="105">
        <f t="shared" si="0"/>
        <v>60.726930782518878</v>
      </c>
      <c r="F18" s="106">
        <f t="shared" si="1"/>
        <v>1235036.8943985859</v>
      </c>
      <c r="G18" s="107">
        <f t="shared" si="2"/>
        <v>0.25</v>
      </c>
      <c r="H18" s="105">
        <f t="shared" si="3"/>
        <v>25</v>
      </c>
      <c r="I18" s="105">
        <f t="shared" si="4"/>
        <v>132.52694376500872</v>
      </c>
      <c r="J18" s="106">
        <f t="shared" si="5"/>
        <v>188640.88531558504</v>
      </c>
      <c r="K18" s="106">
        <f t="shared" si="6"/>
        <v>381997.79276405973</v>
      </c>
      <c r="L18" s="106">
        <f t="shared" si="7"/>
        <v>1617034.6871626456</v>
      </c>
      <c r="M18" s="94"/>
      <c r="N18" s="54">
        <f>(L18-$L$13)/$L$13</f>
        <v>6.4261790994110918E-2</v>
      </c>
      <c r="O18" s="94"/>
      <c r="P18" s="44">
        <f t="shared" si="8"/>
        <v>-0.24270317848566436</v>
      </c>
      <c r="Q18" s="44">
        <f t="shared" si="9"/>
        <v>-6.5739526422786465E-2</v>
      </c>
    </row>
    <row r="19" spans="1:27" x14ac:dyDescent="0.25">
      <c r="B19"/>
      <c r="C19"/>
      <c r="D19"/>
      <c r="E19"/>
      <c r="F19"/>
      <c r="G19"/>
      <c r="H19"/>
      <c r="I19"/>
    </row>
    <row r="20" spans="1:27" x14ac:dyDescent="0.25">
      <c r="B20"/>
      <c r="C20"/>
      <c r="D20"/>
      <c r="E20"/>
      <c r="F20"/>
      <c r="G20"/>
      <c r="H20"/>
      <c r="I20"/>
    </row>
    <row r="21" spans="1:27" x14ac:dyDescent="0.25">
      <c r="B21"/>
      <c r="C21"/>
      <c r="D21"/>
      <c r="E21"/>
      <c r="F21"/>
      <c r="G21"/>
      <c r="H21"/>
      <c r="I21"/>
    </row>
    <row r="22" spans="1:27" x14ac:dyDescent="0.25">
      <c r="B22"/>
      <c r="C22"/>
      <c r="D22"/>
      <c r="E22"/>
      <c r="F22"/>
      <c r="G22"/>
      <c r="H22"/>
      <c r="I22"/>
    </row>
    <row r="23" spans="1:27" x14ac:dyDescent="0.25">
      <c r="B23"/>
      <c r="C23"/>
      <c r="D23"/>
      <c r="E23"/>
      <c r="F23"/>
      <c r="G23"/>
      <c r="H23"/>
      <c r="I23"/>
    </row>
    <row r="24" spans="1:27" x14ac:dyDescent="0.25">
      <c r="B24"/>
      <c r="C24"/>
      <c r="D24"/>
      <c r="E24"/>
      <c r="F24"/>
      <c r="G24"/>
      <c r="H24"/>
      <c r="I24"/>
      <c r="P24" s="80"/>
      <c r="Q24" s="80"/>
      <c r="R24" s="82" t="s">
        <v>33</v>
      </c>
      <c r="S24" s="83"/>
    </row>
    <row r="25" spans="1:27" x14ac:dyDescent="0.25">
      <c r="B25"/>
      <c r="C25"/>
      <c r="D25"/>
      <c r="E25"/>
      <c r="F25"/>
      <c r="G25"/>
      <c r="H25"/>
      <c r="I25"/>
      <c r="P25" s="84"/>
      <c r="Q25" s="84" t="s">
        <v>27</v>
      </c>
      <c r="R25" s="84" t="s">
        <v>26</v>
      </c>
      <c r="S25" s="84" t="s">
        <v>7</v>
      </c>
    </row>
    <row r="26" spans="1:27" x14ac:dyDescent="0.25">
      <c r="B26"/>
      <c r="C26"/>
      <c r="D26"/>
      <c r="E26"/>
      <c r="F26"/>
      <c r="G26"/>
      <c r="H26"/>
      <c r="I26"/>
      <c r="O26" s="9"/>
      <c r="P26" s="85" t="str">
        <f>"Current "&amp;G13*100&amp;"%"</f>
        <v>Current 5%</v>
      </c>
      <c r="Q26" s="86">
        <f>F13</f>
        <v>1461538.4615384615</v>
      </c>
      <c r="R26" s="86">
        <f>K13</f>
        <v>57857.142857142855</v>
      </c>
      <c r="S26" s="86">
        <f>R26+Q26</f>
        <v>1519395.6043956045</v>
      </c>
    </row>
    <row r="27" spans="1:27" x14ac:dyDescent="0.25">
      <c r="B27"/>
      <c r="C27"/>
      <c r="D27"/>
      <c r="E27"/>
      <c r="F27"/>
      <c r="G27"/>
      <c r="H27"/>
      <c r="I27"/>
      <c r="O27" s="67"/>
      <c r="P27" s="87">
        <f>G15</f>
        <v>9.9999999999999978E-2</v>
      </c>
      <c r="Q27" s="86">
        <f>F15</f>
        <v>1408355.0616811025</v>
      </c>
      <c r="R27" s="86">
        <f>K15</f>
        <v>124042.48136798061</v>
      </c>
      <c r="S27" s="86">
        <f>R27+Q27</f>
        <v>1532397.5430490831</v>
      </c>
    </row>
    <row r="28" spans="1:27" x14ac:dyDescent="0.25">
      <c r="B28"/>
      <c r="C28"/>
      <c r="D28"/>
      <c r="E28"/>
      <c r="F28"/>
      <c r="G28"/>
      <c r="H28"/>
      <c r="I28"/>
      <c r="O28" s="67"/>
      <c r="P28" s="87">
        <f>G16</f>
        <v>0.15000000000000002</v>
      </c>
      <c r="Q28" s="86">
        <f t="shared" ref="Q28:Q30" si="10">F16</f>
        <v>1352918.3318752311</v>
      </c>
      <c r="R28" s="86">
        <f t="shared" ref="R28:R30" si="11">K16</f>
        <v>199455.11164348284</v>
      </c>
      <c r="S28" s="86">
        <f t="shared" ref="S28:S30" si="12">R28+Q28</f>
        <v>1552373.443518714</v>
      </c>
    </row>
    <row r="29" spans="1:27" x14ac:dyDescent="0.25">
      <c r="B29"/>
      <c r="C29"/>
      <c r="D29"/>
      <c r="E29"/>
      <c r="F29"/>
      <c r="G29"/>
      <c r="H29"/>
      <c r="I29"/>
      <c r="O29" s="67"/>
      <c r="P29" s="87">
        <f>G17</f>
        <v>0.19999999999999996</v>
      </c>
      <c r="Q29" s="86">
        <f t="shared" si="10"/>
        <v>1295166.6378870201</v>
      </c>
      <c r="R29" s="86">
        <f t="shared" si="11"/>
        <v>285080.40952838934</v>
      </c>
      <c r="S29" s="86">
        <f t="shared" si="12"/>
        <v>1580247.0474154095</v>
      </c>
    </row>
    <row r="30" spans="1:27" x14ac:dyDescent="0.25">
      <c r="B30"/>
      <c r="C30"/>
      <c r="D30"/>
      <c r="E30"/>
      <c r="F30"/>
      <c r="G30"/>
      <c r="H30"/>
      <c r="I30"/>
      <c r="O30" s="67"/>
      <c r="P30" s="87">
        <f>G18</f>
        <v>0.25</v>
      </c>
      <c r="Q30" s="86">
        <f t="shared" si="10"/>
        <v>1235036.8943985859</v>
      </c>
      <c r="R30" s="86">
        <f t="shared" si="11"/>
        <v>381997.79276405973</v>
      </c>
      <c r="S30" s="86">
        <f t="shared" si="12"/>
        <v>1617034.6871626456</v>
      </c>
    </row>
    <row r="31" spans="1:27" x14ac:dyDescent="0.25">
      <c r="B31"/>
      <c r="C31"/>
      <c r="D31"/>
      <c r="E31"/>
      <c r="F31"/>
      <c r="G31"/>
      <c r="H31"/>
      <c r="I31"/>
    </row>
    <row r="35" spans="6:14" x14ac:dyDescent="0.25">
      <c r="N35" s="56" t="s">
        <v>45</v>
      </c>
    </row>
    <row r="42" spans="6:14" x14ac:dyDescent="0.25">
      <c r="F42" s="8">
        <v>1461538.4615384615</v>
      </c>
      <c r="G42" s="8">
        <v>57857.142857142855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5BBA9-9953-B34E-B25D-A6011C896089}">
  <dimension ref="A1:AF50"/>
  <sheetViews>
    <sheetView zoomScale="59" zoomScaleNormal="100" workbookViewId="0">
      <selection activeCell="A34" sqref="A34:XFD34"/>
    </sheetView>
  </sheetViews>
  <sheetFormatPr defaultColWidth="11.42578125" defaultRowHeight="15" x14ac:dyDescent="0.25"/>
  <cols>
    <col min="17" max="17" width="2" customWidth="1"/>
  </cols>
  <sheetData>
    <row r="1" spans="1:32" ht="15.75" x14ac:dyDescent="0.25">
      <c r="B1" s="90" t="s">
        <v>13</v>
      </c>
      <c r="R1" s="90" t="s">
        <v>12</v>
      </c>
    </row>
    <row r="2" spans="1:32" ht="15.75" x14ac:dyDescent="0.25">
      <c r="A2" s="90" t="s">
        <v>110</v>
      </c>
      <c r="B2" s="89">
        <v>2005</v>
      </c>
      <c r="C2" s="89">
        <v>2006</v>
      </c>
      <c r="D2" s="89">
        <v>2007</v>
      </c>
      <c r="E2" s="89">
        <v>2008</v>
      </c>
      <c r="F2" s="89">
        <v>2009</v>
      </c>
      <c r="G2" s="89">
        <v>2010</v>
      </c>
      <c r="H2" s="89">
        <v>2011</v>
      </c>
      <c r="I2" s="89">
        <v>2012</v>
      </c>
      <c r="J2" s="89">
        <v>2013</v>
      </c>
      <c r="K2" s="89">
        <v>2014</v>
      </c>
      <c r="L2" s="89">
        <v>2015</v>
      </c>
      <c r="M2" s="89">
        <v>2016</v>
      </c>
      <c r="N2" s="89">
        <v>2017</v>
      </c>
      <c r="O2" s="89">
        <v>2018</v>
      </c>
      <c r="P2" s="89" t="s">
        <v>114</v>
      </c>
      <c r="R2" s="89">
        <v>2005</v>
      </c>
      <c r="S2" s="89">
        <v>2006</v>
      </c>
      <c r="T2" s="89">
        <v>2007</v>
      </c>
      <c r="U2" s="89">
        <v>2008</v>
      </c>
      <c r="V2" s="89">
        <v>2009</v>
      </c>
      <c r="W2" s="89">
        <v>2010</v>
      </c>
      <c r="X2" s="89">
        <v>2011</v>
      </c>
      <c r="Y2" s="89">
        <v>2012</v>
      </c>
      <c r="Z2" s="89">
        <v>2013</v>
      </c>
      <c r="AA2" s="89">
        <v>2014</v>
      </c>
      <c r="AB2" s="89">
        <v>2015</v>
      </c>
      <c r="AC2" s="89">
        <v>2016</v>
      </c>
      <c r="AD2" s="89">
        <v>2017</v>
      </c>
      <c r="AE2" s="89">
        <v>2018</v>
      </c>
      <c r="AF2" s="89" t="s">
        <v>114</v>
      </c>
    </row>
    <row r="3" spans="1:32" x14ac:dyDescent="0.25">
      <c r="A3" t="s">
        <v>62</v>
      </c>
      <c r="B3" s="91">
        <f>1-R3</f>
        <v>0</v>
      </c>
      <c r="C3" s="91">
        <f t="shared" ref="C3:K18" si="0">1-S3</f>
        <v>0</v>
      </c>
      <c r="D3" s="91">
        <f t="shared" si="0"/>
        <v>2.0287656331925197E-2</v>
      </c>
      <c r="E3" s="91">
        <f t="shared" si="0"/>
        <v>0</v>
      </c>
      <c r="F3" s="91">
        <f t="shared" si="0"/>
        <v>5.8910707669507234E-2</v>
      </c>
      <c r="G3" s="91">
        <f t="shared" si="0"/>
        <v>0</v>
      </c>
      <c r="H3" s="91">
        <f t="shared" si="0"/>
        <v>2.8813047029019545E-2</v>
      </c>
      <c r="I3" s="91">
        <f t="shared" si="0"/>
        <v>1.1619031085787324E-2</v>
      </c>
      <c r="J3" s="91">
        <f t="shared" si="0"/>
        <v>0</v>
      </c>
      <c r="K3" s="91">
        <f t="shared" si="0"/>
        <v>0</v>
      </c>
      <c r="L3" s="91">
        <f>1-AB3</f>
        <v>9.2423103328344025E-3</v>
      </c>
      <c r="M3" s="91">
        <f t="shared" ref="M3:O18" si="1">1-AC3</f>
        <v>1.4125840577989934E-2</v>
      </c>
      <c r="N3" s="91">
        <f t="shared" si="1"/>
        <v>1.072724489688659E-2</v>
      </c>
      <c r="O3" s="91">
        <f t="shared" si="1"/>
        <v>3.2358363764714015E-3</v>
      </c>
      <c r="P3" s="91">
        <f>AVERAGE(B3:O3)</f>
        <v>1.121154816431583E-2</v>
      </c>
      <c r="R3" s="91">
        <v>1</v>
      </c>
      <c r="S3" s="91">
        <v>1</v>
      </c>
      <c r="T3" s="91">
        <v>0.9797123436680748</v>
      </c>
      <c r="U3" s="91">
        <v>1</v>
      </c>
      <c r="V3" s="91">
        <v>0.94108929233049277</v>
      </c>
      <c r="W3" s="91">
        <v>1</v>
      </c>
      <c r="X3" s="91">
        <v>0.97118695297098045</v>
      </c>
      <c r="Y3" s="91">
        <v>0.98838096891421268</v>
      </c>
      <c r="Z3" s="91">
        <v>1</v>
      </c>
      <c r="AA3" s="91">
        <v>1</v>
      </c>
      <c r="AB3" s="91">
        <v>0.9907576896671656</v>
      </c>
      <c r="AC3" s="91">
        <v>0.98587415942201007</v>
      </c>
      <c r="AD3" s="91">
        <v>0.98927275510311341</v>
      </c>
      <c r="AE3" s="91">
        <v>0.9967641636235286</v>
      </c>
      <c r="AF3" s="91">
        <f t="shared" ref="AF3:AF37" si="2">AVERAGE(R3:AE3)</f>
        <v>0.9887884518356842</v>
      </c>
    </row>
    <row r="4" spans="1:32" x14ac:dyDescent="0.25">
      <c r="A4" t="s">
        <v>63</v>
      </c>
      <c r="B4" s="91">
        <f t="shared" ref="B4:I49" si="3">1-R4</f>
        <v>7.9737572413728142E-2</v>
      </c>
      <c r="C4" s="91">
        <f t="shared" si="0"/>
        <v>1.8581481807046107E-2</v>
      </c>
      <c r="D4" s="91">
        <f t="shared" si="0"/>
        <v>8.4720154690713034E-2</v>
      </c>
      <c r="E4" s="91">
        <f t="shared" si="0"/>
        <v>0.18644067796610164</v>
      </c>
      <c r="F4" s="91">
        <f t="shared" si="0"/>
        <v>3.0272345940379641E-2</v>
      </c>
      <c r="G4" s="91">
        <f t="shared" si="0"/>
        <v>0.19001218026796585</v>
      </c>
      <c r="H4" s="91">
        <f t="shared" si="0"/>
        <v>5.6189363631652389E-2</v>
      </c>
      <c r="I4" s="91">
        <f t="shared" si="0"/>
        <v>0.12611198325484041</v>
      </c>
      <c r="J4" s="91">
        <f t="shared" si="0"/>
        <v>0.24600990643918552</v>
      </c>
      <c r="K4" s="91">
        <f t="shared" si="0"/>
        <v>0.12977867203219318</v>
      </c>
      <c r="L4" s="91">
        <f t="shared" ref="L4:O49" si="4">1-AB4</f>
        <v>0.1023486856531991</v>
      </c>
      <c r="M4" s="91">
        <f t="shared" si="1"/>
        <v>0.17699137949333255</v>
      </c>
      <c r="N4" s="91">
        <f t="shared" si="1"/>
        <v>0.10186571372324005</v>
      </c>
      <c r="O4" s="91">
        <f t="shared" si="1"/>
        <v>0.14510348611707868</v>
      </c>
      <c r="P4" s="91">
        <f t="shared" ref="P4:P49" si="5">AVERAGE(B4:O4)</f>
        <v>0.11958311453076116</v>
      </c>
      <c r="R4" s="91">
        <v>0.92026242758627186</v>
      </c>
      <c r="S4" s="91">
        <v>0.98141851819295389</v>
      </c>
      <c r="T4" s="91">
        <v>0.91527984530928697</v>
      </c>
      <c r="U4" s="91">
        <v>0.81355932203389836</v>
      </c>
      <c r="V4" s="91">
        <v>0.96972765405962036</v>
      </c>
      <c r="W4" s="91">
        <v>0.80998781973203415</v>
      </c>
      <c r="X4" s="91">
        <v>0.94381063636834761</v>
      </c>
      <c r="Y4" s="91">
        <v>0.87388801674515959</v>
      </c>
      <c r="Z4" s="91">
        <v>0.75399009356081448</v>
      </c>
      <c r="AA4" s="91">
        <v>0.87022132796780682</v>
      </c>
      <c r="AB4" s="91">
        <v>0.8976513143468009</v>
      </c>
      <c r="AC4" s="91">
        <v>0.82300862050666745</v>
      </c>
      <c r="AD4" s="91">
        <v>0.89813428627675995</v>
      </c>
      <c r="AE4" s="91">
        <v>0.85489651388292132</v>
      </c>
      <c r="AF4" s="91">
        <f t="shared" si="2"/>
        <v>0.8804168854692388</v>
      </c>
    </row>
    <row r="5" spans="1:32" x14ac:dyDescent="0.25">
      <c r="A5" t="s">
        <v>64</v>
      </c>
      <c r="B5" s="91">
        <f t="shared" si="3"/>
        <v>0.31695568400770713</v>
      </c>
      <c r="C5" s="91">
        <f t="shared" si="0"/>
        <v>0.31846153846153846</v>
      </c>
      <c r="D5" s="91">
        <f t="shared" si="0"/>
        <v>0.4151389710230633</v>
      </c>
      <c r="E5" s="91">
        <f t="shared" si="0"/>
        <v>0.23907455012853474</v>
      </c>
      <c r="F5" s="91">
        <f t="shared" si="0"/>
        <v>0.13358419567262469</v>
      </c>
      <c r="G5" s="91">
        <f t="shared" si="0"/>
        <v>2.7233148435574783E-2</v>
      </c>
      <c r="H5" s="91">
        <f t="shared" si="0"/>
        <v>5.0521948656847782E-2</v>
      </c>
      <c r="I5" s="91">
        <f t="shared" si="0"/>
        <v>0.10719800238967436</v>
      </c>
      <c r="J5" s="91">
        <f t="shared" si="0"/>
        <v>2.6582974067290488E-2</v>
      </c>
      <c r="K5" s="91">
        <f t="shared" si="0"/>
        <v>0.16666666666666663</v>
      </c>
      <c r="L5" s="91">
        <f t="shared" si="4"/>
        <v>4.4827086796834337E-2</v>
      </c>
      <c r="M5" s="91">
        <f t="shared" si="1"/>
        <v>6.7470144752922123E-2</v>
      </c>
      <c r="N5" s="91">
        <f t="shared" si="1"/>
        <v>8.865726736867785E-2</v>
      </c>
      <c r="O5" s="91">
        <f t="shared" si="1"/>
        <v>0.10182511449103282</v>
      </c>
      <c r="P5" s="91">
        <f t="shared" si="5"/>
        <v>0.15029980663707068</v>
      </c>
      <c r="R5" s="91">
        <v>0.68304431599229287</v>
      </c>
      <c r="S5" s="91">
        <v>0.68153846153846154</v>
      </c>
      <c r="T5" s="91">
        <v>0.5848610289769367</v>
      </c>
      <c r="U5" s="91">
        <v>0.76092544987146526</v>
      </c>
      <c r="V5" s="91">
        <v>0.86641580432737531</v>
      </c>
      <c r="W5" s="91">
        <v>0.97276685156442522</v>
      </c>
      <c r="X5" s="91">
        <v>0.94947805134315222</v>
      </c>
      <c r="Y5" s="91">
        <v>0.89280199761032564</v>
      </c>
      <c r="Z5" s="91">
        <v>0.97341702593270951</v>
      </c>
      <c r="AA5" s="91">
        <v>0.83333333333333337</v>
      </c>
      <c r="AB5" s="91">
        <v>0.95517291320316566</v>
      </c>
      <c r="AC5" s="91">
        <v>0.93252985524707788</v>
      </c>
      <c r="AD5" s="91">
        <v>0.91134273263132215</v>
      </c>
      <c r="AE5" s="91">
        <v>0.89817488550896718</v>
      </c>
      <c r="AF5" s="91">
        <f t="shared" si="2"/>
        <v>0.84970019336292923</v>
      </c>
    </row>
    <row r="6" spans="1:32" x14ac:dyDescent="0.25">
      <c r="A6" t="s">
        <v>65</v>
      </c>
      <c r="B6" s="91">
        <f t="shared" si="3"/>
        <v>0.30057803468208089</v>
      </c>
      <c r="C6" s="91">
        <f t="shared" si="0"/>
        <v>0.1570360299116248</v>
      </c>
      <c r="D6" s="91">
        <f t="shared" si="0"/>
        <v>0.19321472900289616</v>
      </c>
      <c r="E6" s="91">
        <f t="shared" si="0"/>
        <v>0.23493975903614461</v>
      </c>
      <c r="F6" s="91">
        <f t="shared" si="0"/>
        <v>0.21079958463136028</v>
      </c>
      <c r="G6" s="91">
        <f t="shared" si="0"/>
        <v>0.24761904761904763</v>
      </c>
      <c r="H6" s="91">
        <f t="shared" si="0"/>
        <v>0.34292866082603257</v>
      </c>
      <c r="I6" s="91">
        <f t="shared" si="0"/>
        <v>0.19969512195121952</v>
      </c>
      <c r="J6" s="91">
        <f t="shared" si="0"/>
        <v>0.23994038748137114</v>
      </c>
      <c r="K6" s="91">
        <f t="shared" si="0"/>
        <v>0.16081330868761556</v>
      </c>
      <c r="L6" s="91">
        <f t="shared" si="4"/>
        <v>0.22285948905720199</v>
      </c>
      <c r="M6" s="91">
        <f t="shared" si="1"/>
        <v>0.1626938268023983</v>
      </c>
      <c r="N6" s="91">
        <f t="shared" si="1"/>
        <v>0.21787929133061368</v>
      </c>
      <c r="O6" s="91">
        <f t="shared" si="1"/>
        <v>0.16684726411942041</v>
      </c>
      <c r="P6" s="91">
        <f t="shared" si="5"/>
        <v>0.21841746679564483</v>
      </c>
      <c r="R6" s="91">
        <v>0.69942196531791911</v>
      </c>
      <c r="S6" s="91">
        <v>0.8429639700883752</v>
      </c>
      <c r="T6" s="91">
        <v>0.80678527099710384</v>
      </c>
      <c r="U6" s="91">
        <v>0.76506024096385539</v>
      </c>
      <c r="V6" s="91">
        <v>0.78920041536863972</v>
      </c>
      <c r="W6" s="91">
        <v>0.75238095238095237</v>
      </c>
      <c r="X6" s="91">
        <v>0.65707133917396743</v>
      </c>
      <c r="Y6" s="91">
        <v>0.80030487804878048</v>
      </c>
      <c r="Z6" s="91">
        <v>0.76005961251862886</v>
      </c>
      <c r="AA6" s="91">
        <v>0.83918669131238444</v>
      </c>
      <c r="AB6" s="91">
        <v>0.77714051094279801</v>
      </c>
      <c r="AC6" s="91">
        <v>0.8373061731976017</v>
      </c>
      <c r="AD6" s="91">
        <v>0.78212070866938632</v>
      </c>
      <c r="AE6" s="91">
        <v>0.83315273588057959</v>
      </c>
      <c r="AF6" s="91">
        <f t="shared" si="2"/>
        <v>0.78158253320435533</v>
      </c>
    </row>
    <row r="7" spans="1:32" x14ac:dyDescent="0.25">
      <c r="A7" t="s">
        <v>66</v>
      </c>
      <c r="B7" s="91">
        <f t="shared" si="3"/>
        <v>0.1168159119078408</v>
      </c>
      <c r="C7" s="91">
        <f t="shared" si="0"/>
        <v>0.2851637764932563</v>
      </c>
      <c r="D7" s="91">
        <f t="shared" si="0"/>
        <v>0.25405405405405401</v>
      </c>
      <c r="E7" s="91">
        <f t="shared" si="0"/>
        <v>0.33766233766233766</v>
      </c>
      <c r="F7" s="91">
        <f t="shared" si="0"/>
        <v>0.32603406326034068</v>
      </c>
      <c r="G7" s="91">
        <f t="shared" si="0"/>
        <v>0.19053117782909934</v>
      </c>
      <c r="H7" s="91">
        <f t="shared" si="0"/>
        <v>0.15446071904127834</v>
      </c>
      <c r="I7" s="91">
        <f t="shared" si="0"/>
        <v>0.32645403377110693</v>
      </c>
      <c r="J7" s="91">
        <f t="shared" si="0"/>
        <v>0.26211849192100534</v>
      </c>
      <c r="K7" s="91">
        <f t="shared" si="0"/>
        <v>0.18799212598425197</v>
      </c>
      <c r="L7" s="91">
        <f t="shared" si="4"/>
        <v>0.24807484923451129</v>
      </c>
      <c r="M7" s="91">
        <f t="shared" si="1"/>
        <v>0.34713905411688284</v>
      </c>
      <c r="N7" s="91">
        <f t="shared" si="1"/>
        <v>0.38041684584063828</v>
      </c>
      <c r="O7" s="91">
        <f t="shared" si="1"/>
        <v>0.33075961677265675</v>
      </c>
      <c r="P7" s="91">
        <f t="shared" si="5"/>
        <v>0.26769121842066151</v>
      </c>
      <c r="R7" s="91">
        <v>0.8831840880921592</v>
      </c>
      <c r="S7" s="91">
        <v>0.7148362235067437</v>
      </c>
      <c r="T7" s="91">
        <v>0.74594594594594599</v>
      </c>
      <c r="U7" s="91">
        <v>0.66233766233766234</v>
      </c>
      <c r="V7" s="91">
        <v>0.67396593673965932</v>
      </c>
      <c r="W7" s="91">
        <v>0.80946882217090066</v>
      </c>
      <c r="X7" s="91">
        <v>0.84553928095872166</v>
      </c>
      <c r="Y7" s="91">
        <v>0.67354596622889307</v>
      </c>
      <c r="Z7" s="91">
        <v>0.73788150807899466</v>
      </c>
      <c r="AA7" s="91">
        <v>0.81200787401574803</v>
      </c>
      <c r="AB7" s="91">
        <v>0.75192515076548871</v>
      </c>
      <c r="AC7" s="91">
        <v>0.65286094588311716</v>
      </c>
      <c r="AD7" s="91">
        <v>0.61958315415936172</v>
      </c>
      <c r="AE7" s="91">
        <v>0.66924038322734325</v>
      </c>
      <c r="AF7" s="91">
        <f t="shared" si="2"/>
        <v>0.73230878157933865</v>
      </c>
    </row>
    <row r="8" spans="1:32" x14ac:dyDescent="0.25">
      <c r="A8" t="s">
        <v>67</v>
      </c>
      <c r="B8" s="91">
        <f t="shared" si="3"/>
        <v>0</v>
      </c>
      <c r="C8" s="91">
        <f t="shared" si="0"/>
        <v>0</v>
      </c>
      <c r="D8" s="91">
        <f t="shared" si="0"/>
        <v>0</v>
      </c>
      <c r="E8" s="91">
        <f t="shared" si="0"/>
        <v>0</v>
      </c>
      <c r="F8" s="91">
        <f t="shared" si="0"/>
        <v>0</v>
      </c>
      <c r="G8" s="91">
        <f t="shared" si="0"/>
        <v>0</v>
      </c>
      <c r="H8" s="91">
        <f t="shared" si="0"/>
        <v>0</v>
      </c>
      <c r="I8" s="91">
        <f t="shared" si="0"/>
        <v>0</v>
      </c>
      <c r="J8" s="91">
        <f t="shared" si="0"/>
        <v>0</v>
      </c>
      <c r="K8" s="91">
        <f t="shared" si="0"/>
        <v>0</v>
      </c>
      <c r="L8" s="91">
        <f t="shared" si="4"/>
        <v>0.13232002447170865</v>
      </c>
      <c r="M8" s="91">
        <f t="shared" si="1"/>
        <v>0.27933580241190248</v>
      </c>
      <c r="N8" s="91">
        <f t="shared" si="1"/>
        <v>0.21450082006887006</v>
      </c>
      <c r="O8" s="91">
        <f t="shared" si="1"/>
        <v>0.23366423232550237</v>
      </c>
      <c r="P8" s="91">
        <f t="shared" si="5"/>
        <v>6.141577709128454E-2</v>
      </c>
      <c r="R8" s="91">
        <v>1</v>
      </c>
      <c r="S8" s="91">
        <v>1</v>
      </c>
      <c r="T8" s="91">
        <v>1</v>
      </c>
      <c r="U8" s="91">
        <v>1</v>
      </c>
      <c r="V8" s="91">
        <v>1</v>
      </c>
      <c r="W8" s="91">
        <v>1</v>
      </c>
      <c r="X8" s="91">
        <v>1</v>
      </c>
      <c r="Y8" s="91">
        <v>1</v>
      </c>
      <c r="Z8" s="91">
        <v>1</v>
      </c>
      <c r="AA8" s="91">
        <v>1</v>
      </c>
      <c r="AB8" s="91">
        <v>0.86767997552829135</v>
      </c>
      <c r="AC8" s="91">
        <v>0.72066419758809752</v>
      </c>
      <c r="AD8" s="91">
        <v>0.78549917993112994</v>
      </c>
      <c r="AE8" s="91">
        <v>0.76633576767449763</v>
      </c>
      <c r="AF8" s="91">
        <f t="shared" si="2"/>
        <v>0.93858422290871546</v>
      </c>
    </row>
    <row r="9" spans="1:32" x14ac:dyDescent="0.25">
      <c r="A9" t="s">
        <v>68</v>
      </c>
      <c r="B9" s="91">
        <f t="shared" si="3"/>
        <v>0</v>
      </c>
      <c r="C9" s="91">
        <f t="shared" si="0"/>
        <v>0</v>
      </c>
      <c r="D9" s="91">
        <f t="shared" si="0"/>
        <v>0</v>
      </c>
      <c r="E9" s="91">
        <f t="shared" si="0"/>
        <v>0</v>
      </c>
      <c r="F9" s="91">
        <f t="shared" si="0"/>
        <v>0</v>
      </c>
      <c r="G9" s="91">
        <f t="shared" si="0"/>
        <v>0</v>
      </c>
      <c r="H9" s="91">
        <f t="shared" si="0"/>
        <v>8.3083053102233517E-2</v>
      </c>
      <c r="I9" s="91">
        <f t="shared" si="0"/>
        <v>0</v>
      </c>
      <c r="J9" s="91">
        <f t="shared" si="0"/>
        <v>0</v>
      </c>
      <c r="K9" s="91">
        <f t="shared" si="0"/>
        <v>0</v>
      </c>
      <c r="L9" s="91">
        <f t="shared" si="4"/>
        <v>0.31851742216027235</v>
      </c>
      <c r="M9" s="91">
        <f t="shared" si="1"/>
        <v>0.11023767812833563</v>
      </c>
      <c r="N9" s="91">
        <f t="shared" si="1"/>
        <v>0.44190542018482948</v>
      </c>
      <c r="O9" s="91">
        <f t="shared" si="1"/>
        <v>0.37543373031874672</v>
      </c>
      <c r="P9" s="91">
        <f t="shared" si="5"/>
        <v>9.4941235992458406E-2</v>
      </c>
      <c r="R9" s="91">
        <v>1</v>
      </c>
      <c r="S9" s="91">
        <v>1</v>
      </c>
      <c r="T9" s="91">
        <v>1</v>
      </c>
      <c r="U9" s="91">
        <v>1</v>
      </c>
      <c r="V9" s="91">
        <v>1</v>
      </c>
      <c r="W9" s="91">
        <v>1</v>
      </c>
      <c r="X9" s="91">
        <v>0.91691694689776648</v>
      </c>
      <c r="Y9" s="91">
        <v>1</v>
      </c>
      <c r="Z9" s="91">
        <v>1</v>
      </c>
      <c r="AA9" s="91">
        <v>1</v>
      </c>
      <c r="AB9" s="91">
        <v>0.68148257783972765</v>
      </c>
      <c r="AC9" s="91">
        <v>0.88976232187166437</v>
      </c>
      <c r="AD9" s="91">
        <v>0.55809457981517052</v>
      </c>
      <c r="AE9" s="91">
        <v>0.62456626968125328</v>
      </c>
      <c r="AF9" s="91">
        <f t="shared" si="2"/>
        <v>0.90505876400754148</v>
      </c>
    </row>
    <row r="10" spans="1:32" x14ac:dyDescent="0.25">
      <c r="A10" t="s">
        <v>69</v>
      </c>
      <c r="B10" s="91">
        <f t="shared" si="3"/>
        <v>2.7043053776275805E-2</v>
      </c>
      <c r="C10" s="91">
        <f t="shared" si="0"/>
        <v>4.2159763313609488E-2</v>
      </c>
      <c r="D10" s="91">
        <f t="shared" si="0"/>
        <v>4.9323786793953883E-2</v>
      </c>
      <c r="E10" s="91">
        <f t="shared" si="0"/>
        <v>0</v>
      </c>
      <c r="F10" s="91">
        <f t="shared" si="0"/>
        <v>5.0732116921899717E-2</v>
      </c>
      <c r="G10" s="91">
        <f t="shared" si="0"/>
        <v>8.9721254355400681E-2</v>
      </c>
      <c r="H10" s="91">
        <f t="shared" si="0"/>
        <v>4.5199643059760986E-2</v>
      </c>
      <c r="I10" s="91">
        <f t="shared" si="0"/>
        <v>1.0724495235220344E-2</v>
      </c>
      <c r="J10" s="91">
        <f t="shared" si="0"/>
        <v>2.6890496532516073E-2</v>
      </c>
      <c r="K10" s="91">
        <f t="shared" si="0"/>
        <v>0.17231537638244743</v>
      </c>
      <c r="L10" s="91">
        <f t="shared" si="4"/>
        <v>8.650211939049357E-3</v>
      </c>
      <c r="M10" s="91">
        <f t="shared" si="1"/>
        <v>0.17281933001964611</v>
      </c>
      <c r="N10" s="91">
        <f t="shared" si="1"/>
        <v>9.6789349470783548E-2</v>
      </c>
      <c r="O10" s="91">
        <f t="shared" si="1"/>
        <v>0.12179831114549966</v>
      </c>
      <c r="P10" s="91">
        <f t="shared" si="5"/>
        <v>6.5297656353290226E-2</v>
      </c>
      <c r="R10" s="91">
        <v>0.9729569462237242</v>
      </c>
      <c r="S10" s="91">
        <v>0.95784023668639051</v>
      </c>
      <c r="T10" s="91">
        <v>0.95067621320604612</v>
      </c>
      <c r="U10" s="91">
        <v>1</v>
      </c>
      <c r="V10" s="91">
        <v>0.94926788307810028</v>
      </c>
      <c r="W10" s="91">
        <v>0.91027874564459932</v>
      </c>
      <c r="X10" s="91">
        <v>0.95480035694023901</v>
      </c>
      <c r="Y10" s="91">
        <v>0.98927550476477966</v>
      </c>
      <c r="Z10" s="91">
        <v>0.97310950346748393</v>
      </c>
      <c r="AA10" s="91">
        <v>0.82768462361755257</v>
      </c>
      <c r="AB10" s="91">
        <v>0.99134978806095064</v>
      </c>
      <c r="AC10" s="91">
        <v>0.82718066998035389</v>
      </c>
      <c r="AD10" s="91">
        <v>0.90321065052921645</v>
      </c>
      <c r="AE10" s="91">
        <v>0.87820168885450034</v>
      </c>
      <c r="AF10" s="91">
        <f t="shared" si="2"/>
        <v>0.93470234364670979</v>
      </c>
    </row>
    <row r="11" spans="1:32" x14ac:dyDescent="0.25">
      <c r="A11" t="s">
        <v>70</v>
      </c>
      <c r="B11" s="91">
        <f t="shared" si="3"/>
        <v>0.21689850592478099</v>
      </c>
      <c r="C11" s="91">
        <f t="shared" si="0"/>
        <v>0.39772727272727271</v>
      </c>
      <c r="D11" s="91">
        <f t="shared" si="0"/>
        <v>0.25714285714285712</v>
      </c>
      <c r="E11" s="91">
        <f t="shared" si="0"/>
        <v>1.238499603130705E-2</v>
      </c>
      <c r="F11" s="91">
        <f t="shared" si="0"/>
        <v>7.6011157601115764E-2</v>
      </c>
      <c r="G11" s="91">
        <f t="shared" si="0"/>
        <v>9.722222222222221E-2</v>
      </c>
      <c r="H11" s="91">
        <f t="shared" si="0"/>
        <v>0.13961038961038963</v>
      </c>
      <c r="I11" s="91">
        <f t="shared" si="0"/>
        <v>0.17444364680545588</v>
      </c>
      <c r="J11" s="91">
        <f t="shared" si="0"/>
        <v>1.3874607886880108E-2</v>
      </c>
      <c r="K11" s="91">
        <f t="shared" si="0"/>
        <v>8.349026993094788E-2</v>
      </c>
      <c r="L11" s="91">
        <f t="shared" si="4"/>
        <v>7.3453548102981769E-2</v>
      </c>
      <c r="M11" s="91">
        <f t="shared" si="1"/>
        <v>5.089607277140773E-2</v>
      </c>
      <c r="N11" s="91">
        <f t="shared" si="1"/>
        <v>0.11491808498202516</v>
      </c>
      <c r="O11" s="91">
        <f t="shared" si="1"/>
        <v>4.7536388164605592E-2</v>
      </c>
      <c r="P11" s="91">
        <f t="shared" si="5"/>
        <v>0.12540071570744643</v>
      </c>
      <c r="R11" s="91">
        <v>0.78310149407521901</v>
      </c>
      <c r="S11" s="91">
        <v>0.60227272727272729</v>
      </c>
      <c r="T11" s="91">
        <v>0.74285714285714288</v>
      </c>
      <c r="U11" s="91">
        <v>0.98761500396869295</v>
      </c>
      <c r="V11" s="91">
        <v>0.92398884239888424</v>
      </c>
      <c r="W11" s="91">
        <v>0.90277777777777779</v>
      </c>
      <c r="X11" s="91">
        <v>0.86038961038961037</v>
      </c>
      <c r="Y11" s="91">
        <v>0.82555635319454412</v>
      </c>
      <c r="Z11" s="91">
        <v>0.98612539211311989</v>
      </c>
      <c r="AA11" s="91">
        <v>0.91650973006905212</v>
      </c>
      <c r="AB11" s="91">
        <v>0.92654645189701823</v>
      </c>
      <c r="AC11" s="91">
        <v>0.94910392722859227</v>
      </c>
      <c r="AD11" s="91">
        <v>0.88508191501797484</v>
      </c>
      <c r="AE11" s="91">
        <v>0.95246361183539441</v>
      </c>
      <c r="AF11" s="91">
        <f t="shared" si="2"/>
        <v>0.87459928429255362</v>
      </c>
    </row>
    <row r="12" spans="1:32" x14ac:dyDescent="0.25">
      <c r="A12" t="s">
        <v>72</v>
      </c>
      <c r="B12" s="91">
        <f t="shared" si="3"/>
        <v>0</v>
      </c>
      <c r="C12" s="91">
        <f t="shared" si="0"/>
        <v>0.10832562916478039</v>
      </c>
      <c r="D12" s="91">
        <f t="shared" si="0"/>
        <v>0</v>
      </c>
      <c r="E12" s="91">
        <f t="shared" si="0"/>
        <v>0.49504950495049505</v>
      </c>
      <c r="F12" s="91">
        <f t="shared" si="0"/>
        <v>0.91342974470516314</v>
      </c>
      <c r="G12" s="91">
        <f t="shared" si="0"/>
        <v>1</v>
      </c>
      <c r="H12" s="91">
        <f t="shared" si="0"/>
        <v>0.11799261752673318</v>
      </c>
      <c r="I12" s="91">
        <f t="shared" si="0"/>
        <v>4.5291157440690122E-2</v>
      </c>
      <c r="J12" s="91">
        <f t="shared" si="0"/>
        <v>5.4838439554845464E-2</v>
      </c>
      <c r="K12" s="91">
        <f t="shared" si="0"/>
        <v>0.32137518684603883</v>
      </c>
      <c r="L12" s="91">
        <f t="shared" si="4"/>
        <v>1.6279658152951182E-2</v>
      </c>
      <c r="M12" s="91">
        <f t="shared" si="1"/>
        <v>0.12379039966370353</v>
      </c>
      <c r="N12" s="91">
        <f t="shared" si="1"/>
        <v>0.24199923883983698</v>
      </c>
      <c r="O12" s="91">
        <f t="shared" si="1"/>
        <v>0.63291861329269816</v>
      </c>
      <c r="P12" s="91">
        <f t="shared" si="5"/>
        <v>0.29080644215270979</v>
      </c>
      <c r="R12" s="91">
        <v>1</v>
      </c>
      <c r="S12" s="91">
        <v>0.89167437083521961</v>
      </c>
      <c r="T12" s="91">
        <v>1</v>
      </c>
      <c r="U12" s="91">
        <v>0.50495049504950495</v>
      </c>
      <c r="V12" s="91">
        <v>8.6570255294836918E-2</v>
      </c>
      <c r="W12" s="91">
        <v>0</v>
      </c>
      <c r="X12" s="91">
        <v>0.88200738247326682</v>
      </c>
      <c r="Y12" s="91">
        <v>0.95470884255930988</v>
      </c>
      <c r="Z12" s="91">
        <v>0.94516156044515454</v>
      </c>
      <c r="AA12" s="91">
        <v>0.67862481315396117</v>
      </c>
      <c r="AB12" s="91">
        <v>0.98372034184704882</v>
      </c>
      <c r="AC12" s="91">
        <v>0.87620960033629647</v>
      </c>
      <c r="AD12" s="91">
        <v>0.75800076116016302</v>
      </c>
      <c r="AE12" s="91">
        <v>0.36708138670730184</v>
      </c>
      <c r="AF12" s="91">
        <f t="shared" si="2"/>
        <v>0.70919355784729032</v>
      </c>
    </row>
    <row r="13" spans="1:32" x14ac:dyDescent="0.25">
      <c r="A13" t="s">
        <v>73</v>
      </c>
      <c r="B13" s="91">
        <f t="shared" si="3"/>
        <v>0.39439439439439439</v>
      </c>
      <c r="C13" s="91">
        <f t="shared" si="0"/>
        <v>0.35399388913138363</v>
      </c>
      <c r="D13" s="91">
        <f t="shared" si="0"/>
        <v>0.21419098143236071</v>
      </c>
      <c r="E13" s="91">
        <f t="shared" si="0"/>
        <v>0.15642221280203472</v>
      </c>
      <c r="F13" s="91">
        <f t="shared" si="0"/>
        <v>8.2098061573546155E-2</v>
      </c>
      <c r="G13" s="91">
        <f t="shared" si="0"/>
        <v>9.1039838918452465E-2</v>
      </c>
      <c r="H13" s="91">
        <f t="shared" si="0"/>
        <v>0.24928366762177645</v>
      </c>
      <c r="I13" s="91">
        <f t="shared" si="0"/>
        <v>0.27304964539007093</v>
      </c>
      <c r="J13" s="91">
        <f t="shared" si="0"/>
        <v>0.32281553398058249</v>
      </c>
      <c r="K13" s="91">
        <f t="shared" si="0"/>
        <v>0.11141624166339736</v>
      </c>
      <c r="L13" s="91">
        <f t="shared" si="4"/>
        <v>0.28804948317359091</v>
      </c>
      <c r="M13" s="91">
        <f t="shared" si="1"/>
        <v>0.15335786938249563</v>
      </c>
      <c r="N13" s="91">
        <f t="shared" si="1"/>
        <v>0.20060100457819641</v>
      </c>
      <c r="O13" s="91">
        <f t="shared" si="1"/>
        <v>0.18666837176473206</v>
      </c>
      <c r="P13" s="91">
        <f t="shared" si="5"/>
        <v>0.21981294255764383</v>
      </c>
      <c r="R13" s="91">
        <v>0.60560560560560561</v>
      </c>
      <c r="S13" s="91">
        <v>0.64600611086861637</v>
      </c>
      <c r="T13" s="91">
        <v>0.78580901856763929</v>
      </c>
      <c r="U13" s="91">
        <v>0.84357778719796528</v>
      </c>
      <c r="V13" s="91">
        <v>0.91790193842645385</v>
      </c>
      <c r="W13" s="91">
        <v>0.90896016108154754</v>
      </c>
      <c r="X13" s="91">
        <v>0.75071633237822355</v>
      </c>
      <c r="Y13" s="91">
        <v>0.72695035460992907</v>
      </c>
      <c r="Z13" s="91">
        <v>0.67718446601941751</v>
      </c>
      <c r="AA13" s="91">
        <v>0.88858375833660264</v>
      </c>
      <c r="AB13" s="91">
        <v>0.71195051682640909</v>
      </c>
      <c r="AC13" s="91">
        <v>0.84664213061750437</v>
      </c>
      <c r="AD13" s="91">
        <v>0.79939899542180359</v>
      </c>
      <c r="AE13" s="91">
        <v>0.81333162823526794</v>
      </c>
      <c r="AF13" s="91">
        <f t="shared" si="2"/>
        <v>0.78018705744235617</v>
      </c>
    </row>
    <row r="14" spans="1:32" x14ac:dyDescent="0.25">
      <c r="A14" t="s">
        <v>74</v>
      </c>
      <c r="B14" s="91">
        <f t="shared" si="3"/>
        <v>8.698777857656359E-2</v>
      </c>
      <c r="C14" s="91">
        <f t="shared" si="0"/>
        <v>0.2089423903697335</v>
      </c>
      <c r="D14" s="91">
        <f t="shared" si="0"/>
        <v>0.16563912864775998</v>
      </c>
      <c r="E14" s="91">
        <f t="shared" si="0"/>
        <v>0.17844232665133097</v>
      </c>
      <c r="F14" s="91">
        <f t="shared" si="0"/>
        <v>0.17879081797607499</v>
      </c>
      <c r="G14" s="91">
        <f t="shared" si="0"/>
        <v>0.27826449728827707</v>
      </c>
      <c r="H14" s="91">
        <f t="shared" si="0"/>
        <v>0.28431372549019607</v>
      </c>
      <c r="I14" s="91">
        <f t="shared" si="0"/>
        <v>0.31860036832412519</v>
      </c>
      <c r="J14" s="91">
        <f t="shared" si="0"/>
        <v>0.11365260900643315</v>
      </c>
      <c r="K14" s="91">
        <f t="shared" si="0"/>
        <v>0.27403846153846156</v>
      </c>
      <c r="L14" s="91">
        <f t="shared" si="4"/>
        <v>0.14738529333967854</v>
      </c>
      <c r="M14" s="91">
        <f t="shared" si="1"/>
        <v>0.1848773714174955</v>
      </c>
      <c r="N14" s="91">
        <f t="shared" si="1"/>
        <v>0.53224558105096342</v>
      </c>
      <c r="O14" s="91">
        <f t="shared" si="1"/>
        <v>9.7077707397690949E-2</v>
      </c>
      <c r="P14" s="91">
        <f t="shared" si="5"/>
        <v>0.2178041469339132</v>
      </c>
      <c r="R14" s="91">
        <v>0.91301222142343641</v>
      </c>
      <c r="S14" s="91">
        <v>0.7910576096302665</v>
      </c>
      <c r="T14" s="91">
        <v>0.83436087135224002</v>
      </c>
      <c r="U14" s="91">
        <v>0.82155767334866903</v>
      </c>
      <c r="V14" s="91">
        <v>0.82120918202392501</v>
      </c>
      <c r="W14" s="91">
        <v>0.72173550271172293</v>
      </c>
      <c r="X14" s="91">
        <v>0.71568627450980393</v>
      </c>
      <c r="Y14" s="91">
        <v>0.68139963167587481</v>
      </c>
      <c r="Z14" s="91">
        <v>0.88634739099356685</v>
      </c>
      <c r="AA14" s="91">
        <v>0.72596153846153844</v>
      </c>
      <c r="AB14" s="91">
        <v>0.85261470666032146</v>
      </c>
      <c r="AC14" s="91">
        <v>0.8151226285825045</v>
      </c>
      <c r="AD14" s="91">
        <v>0.46775441894903658</v>
      </c>
      <c r="AE14" s="91">
        <v>0.90292229260230905</v>
      </c>
      <c r="AF14" s="91">
        <f t="shared" si="2"/>
        <v>0.78219585306608685</v>
      </c>
    </row>
    <row r="15" spans="1:32" x14ac:dyDescent="0.25">
      <c r="A15" t="s">
        <v>71</v>
      </c>
      <c r="B15" s="91">
        <f t="shared" si="3"/>
        <v>0.4382978723404255</v>
      </c>
      <c r="C15" s="91">
        <f t="shared" si="0"/>
        <v>0.20819490586932443</v>
      </c>
      <c r="D15" s="91">
        <f t="shared" si="0"/>
        <v>0.47797716150081571</v>
      </c>
      <c r="E15" s="91">
        <f t="shared" si="0"/>
        <v>0.2021563342318059</v>
      </c>
      <c r="F15" s="91">
        <f t="shared" si="0"/>
        <v>0.31127450980392157</v>
      </c>
      <c r="G15" s="91">
        <f t="shared" si="0"/>
        <v>0.41055949566587868</v>
      </c>
      <c r="H15" s="91">
        <f t="shared" si="0"/>
        <v>0.34586194434405493</v>
      </c>
      <c r="I15" s="91">
        <f t="shared" si="0"/>
        <v>0.30958385876418659</v>
      </c>
      <c r="J15" s="91">
        <f t="shared" si="0"/>
        <v>0.39923306348530041</v>
      </c>
      <c r="K15" s="91">
        <f t="shared" si="0"/>
        <v>0.33031674208144801</v>
      </c>
      <c r="L15" s="91">
        <f t="shared" si="4"/>
        <v>0.5063383237768514</v>
      </c>
      <c r="M15" s="91">
        <f t="shared" si="1"/>
        <v>0.51638012845089887</v>
      </c>
      <c r="N15" s="91">
        <f t="shared" si="1"/>
        <v>0.75258586440366859</v>
      </c>
      <c r="O15" s="91">
        <f t="shared" si="1"/>
        <v>0.73119304862540813</v>
      </c>
      <c r="P15" s="91">
        <f t="shared" si="5"/>
        <v>0.42428237523885631</v>
      </c>
      <c r="R15" s="91">
        <v>0.5617021276595745</v>
      </c>
      <c r="S15" s="91">
        <v>0.79180509413067557</v>
      </c>
      <c r="T15" s="91">
        <v>0.52202283849918429</v>
      </c>
      <c r="U15" s="91">
        <v>0.7978436657681941</v>
      </c>
      <c r="V15" s="91">
        <v>0.68872549019607843</v>
      </c>
      <c r="W15" s="91">
        <v>0.58944050433412132</v>
      </c>
      <c r="X15" s="91">
        <v>0.65413805565594507</v>
      </c>
      <c r="Y15" s="91">
        <v>0.69041614123581341</v>
      </c>
      <c r="Z15" s="91">
        <v>0.60076693651469959</v>
      </c>
      <c r="AA15" s="91">
        <v>0.66968325791855199</v>
      </c>
      <c r="AB15" s="91">
        <v>0.4936616762231486</v>
      </c>
      <c r="AC15" s="91">
        <v>0.48361987154910108</v>
      </c>
      <c r="AD15" s="91">
        <v>0.24741413559633144</v>
      </c>
      <c r="AE15" s="91">
        <v>0.26880695137459193</v>
      </c>
      <c r="AF15" s="91">
        <f t="shared" si="2"/>
        <v>0.57571762476114363</v>
      </c>
    </row>
    <row r="16" spans="1:32" x14ac:dyDescent="0.25">
      <c r="A16" t="s">
        <v>75</v>
      </c>
      <c r="B16" s="91">
        <f t="shared" si="3"/>
        <v>0.10168434185901432</v>
      </c>
      <c r="C16" s="91">
        <f t="shared" si="0"/>
        <v>0.26251691474966166</v>
      </c>
      <c r="D16" s="91">
        <f t="shared" si="0"/>
        <v>0.17161290322580647</v>
      </c>
      <c r="E16" s="91">
        <f t="shared" si="0"/>
        <v>0.24315068493150682</v>
      </c>
      <c r="F16" s="91">
        <f t="shared" si="0"/>
        <v>0.46073298429319376</v>
      </c>
      <c r="G16" s="91">
        <f t="shared" si="0"/>
        <v>0.21895006402048656</v>
      </c>
      <c r="H16" s="91">
        <f t="shared" si="0"/>
        <v>0.33397220891231427</v>
      </c>
      <c r="I16" s="91">
        <f t="shared" si="0"/>
        <v>8.4065244667503092E-2</v>
      </c>
      <c r="J16" s="91">
        <f t="shared" si="0"/>
        <v>0.23607122343480758</v>
      </c>
      <c r="K16" s="91">
        <f t="shared" si="0"/>
        <v>0.32728023111844817</v>
      </c>
      <c r="L16" s="91">
        <f t="shared" si="4"/>
        <v>0.16138655888483888</v>
      </c>
      <c r="M16" s="91">
        <f t="shared" si="1"/>
        <v>0.25235555825229694</v>
      </c>
      <c r="N16" s="91">
        <f t="shared" si="1"/>
        <v>0.10170005470856902</v>
      </c>
      <c r="O16" s="91">
        <f t="shared" si="1"/>
        <v>0.16433813203217507</v>
      </c>
      <c r="P16" s="91">
        <f t="shared" si="5"/>
        <v>0.22284407893504449</v>
      </c>
      <c r="R16" s="91">
        <v>0.89831565814098568</v>
      </c>
      <c r="S16" s="91">
        <v>0.73748308525033834</v>
      </c>
      <c r="T16" s="91">
        <v>0.82838709677419353</v>
      </c>
      <c r="U16" s="91">
        <v>0.75684931506849318</v>
      </c>
      <c r="V16" s="91">
        <v>0.53926701570680624</v>
      </c>
      <c r="W16" s="91">
        <v>0.78104993597951344</v>
      </c>
      <c r="X16" s="91">
        <v>0.66602779108768573</v>
      </c>
      <c r="Y16" s="91">
        <v>0.91593475533249691</v>
      </c>
      <c r="Z16" s="91">
        <v>0.76392877656519242</v>
      </c>
      <c r="AA16" s="91">
        <v>0.67271976888155183</v>
      </c>
      <c r="AB16" s="91">
        <v>0.83861344111516112</v>
      </c>
      <c r="AC16" s="91">
        <v>0.74764444174770306</v>
      </c>
      <c r="AD16" s="91">
        <v>0.89829994529143098</v>
      </c>
      <c r="AE16" s="91">
        <v>0.83566186796782493</v>
      </c>
      <c r="AF16" s="91">
        <f t="shared" si="2"/>
        <v>0.77715592106495557</v>
      </c>
    </row>
    <row r="17" spans="1:32" x14ac:dyDescent="0.25">
      <c r="A17" t="s">
        <v>76</v>
      </c>
      <c r="B17" s="91">
        <f t="shared" si="3"/>
        <v>4.7823585915523048E-2</v>
      </c>
      <c r="C17" s="91">
        <f t="shared" si="0"/>
        <v>2.0978416051792403E-2</v>
      </c>
      <c r="D17" s="91">
        <f t="shared" si="0"/>
        <v>1.6965438280513667E-2</v>
      </c>
      <c r="E17" s="91">
        <f t="shared" si="0"/>
        <v>0</v>
      </c>
      <c r="F17" s="91">
        <f t="shared" si="0"/>
        <v>5.7308764584743654E-2</v>
      </c>
      <c r="G17" s="91">
        <f t="shared" si="0"/>
        <v>0.12790697674418605</v>
      </c>
      <c r="H17" s="91">
        <f t="shared" si="0"/>
        <v>0.11733046286329385</v>
      </c>
      <c r="I17" s="91">
        <f t="shared" si="0"/>
        <v>7.6286174923413386E-3</v>
      </c>
      <c r="J17" s="91">
        <f t="shared" si="0"/>
        <v>8.8217880402605142E-2</v>
      </c>
      <c r="K17" s="91">
        <f t="shared" si="0"/>
        <v>2.3592276210815721E-2</v>
      </c>
      <c r="L17" s="91">
        <f t="shared" si="4"/>
        <v>5.7673410453342067E-2</v>
      </c>
      <c r="M17" s="91">
        <f t="shared" si="1"/>
        <v>8.2081005064393087E-2</v>
      </c>
      <c r="N17" s="91">
        <f t="shared" si="1"/>
        <v>0.10357523542035096</v>
      </c>
      <c r="O17" s="91">
        <f t="shared" si="1"/>
        <v>4.9435135736136226E-2</v>
      </c>
      <c r="P17" s="91">
        <f t="shared" si="5"/>
        <v>5.7179800372859801E-2</v>
      </c>
      <c r="R17" s="91">
        <v>0.95217641408447695</v>
      </c>
      <c r="S17" s="91">
        <v>0.9790215839482076</v>
      </c>
      <c r="T17" s="91">
        <v>0.98303456171948633</v>
      </c>
      <c r="U17" s="91">
        <v>1</v>
      </c>
      <c r="V17" s="91">
        <v>0.94269123541525635</v>
      </c>
      <c r="W17" s="91">
        <v>0.87209302325581395</v>
      </c>
      <c r="X17" s="91">
        <v>0.88266953713670615</v>
      </c>
      <c r="Y17" s="91">
        <v>0.99237138250765866</v>
      </c>
      <c r="Z17" s="91">
        <v>0.91178211959739486</v>
      </c>
      <c r="AA17" s="91">
        <v>0.97640772378918428</v>
      </c>
      <c r="AB17" s="91">
        <v>0.94232658954665793</v>
      </c>
      <c r="AC17" s="91">
        <v>0.91791899493560691</v>
      </c>
      <c r="AD17" s="91">
        <v>0.89642476457964904</v>
      </c>
      <c r="AE17" s="91">
        <v>0.95056486426386377</v>
      </c>
      <c r="AF17" s="91">
        <f t="shared" si="2"/>
        <v>0.94282019962714014</v>
      </c>
    </row>
    <row r="18" spans="1:32" x14ac:dyDescent="0.25">
      <c r="A18" t="s">
        <v>77</v>
      </c>
      <c r="B18" s="91">
        <f t="shared" si="3"/>
        <v>5.5322648503468574E-2</v>
      </c>
      <c r="C18" s="91">
        <f t="shared" si="0"/>
        <v>0.3279313632030505</v>
      </c>
      <c r="D18" s="91">
        <f t="shared" si="0"/>
        <v>0.1604631927212572</v>
      </c>
      <c r="E18" s="91">
        <f t="shared" si="0"/>
        <v>0.41268191268191268</v>
      </c>
      <c r="F18" s="91">
        <f t="shared" si="0"/>
        <v>0.20863309352517989</v>
      </c>
      <c r="G18" s="91">
        <f t="shared" si="0"/>
        <v>0.11190760653126242</v>
      </c>
      <c r="H18" s="91">
        <f t="shared" si="0"/>
        <v>2.7044565650206631E-2</v>
      </c>
      <c r="I18" s="91">
        <f t="shared" si="0"/>
        <v>5.9608759886104479E-2</v>
      </c>
      <c r="J18" s="91">
        <f t="shared" si="0"/>
        <v>7.4315514993481102E-2</v>
      </c>
      <c r="K18" s="91">
        <f t="shared" si="0"/>
        <v>0.11086717892425901</v>
      </c>
      <c r="L18" s="91">
        <f t="shared" si="4"/>
        <v>0.20527718423726571</v>
      </c>
      <c r="M18" s="91">
        <f t="shared" si="1"/>
        <v>0.22383061392200343</v>
      </c>
      <c r="N18" s="91">
        <f t="shared" si="1"/>
        <v>0.21142309135006976</v>
      </c>
      <c r="O18" s="91">
        <f t="shared" si="1"/>
        <v>0.12722460406458413</v>
      </c>
      <c r="P18" s="91">
        <f t="shared" si="5"/>
        <v>0.16546652358529326</v>
      </c>
      <c r="R18" s="91">
        <v>0.94467735149653143</v>
      </c>
      <c r="S18" s="91">
        <v>0.6720686367969495</v>
      </c>
      <c r="T18" s="91">
        <v>0.8395368072787428</v>
      </c>
      <c r="U18" s="91">
        <v>0.58731808731808732</v>
      </c>
      <c r="V18" s="91">
        <v>0.79136690647482011</v>
      </c>
      <c r="W18" s="91">
        <v>0.88809239346873758</v>
      </c>
      <c r="X18" s="91">
        <v>0.97295543434979337</v>
      </c>
      <c r="Y18" s="91">
        <v>0.94039124011389552</v>
      </c>
      <c r="Z18" s="91">
        <v>0.9256844850065189</v>
      </c>
      <c r="AA18" s="91">
        <v>0.88913282107574099</v>
      </c>
      <c r="AB18" s="91">
        <v>0.79472281576273429</v>
      </c>
      <c r="AC18" s="91">
        <v>0.77616938607799657</v>
      </c>
      <c r="AD18" s="91">
        <v>0.78857690864993024</v>
      </c>
      <c r="AE18" s="91">
        <v>0.87277539593541587</v>
      </c>
      <c r="AF18" s="91">
        <f t="shared" si="2"/>
        <v>0.83453347641470665</v>
      </c>
    </row>
    <row r="19" spans="1:32" x14ac:dyDescent="0.25">
      <c r="A19" t="s">
        <v>80</v>
      </c>
      <c r="B19" s="91">
        <f t="shared" si="3"/>
        <v>0</v>
      </c>
      <c r="C19" s="91">
        <f t="shared" si="3"/>
        <v>0</v>
      </c>
      <c r="D19" s="91">
        <f t="shared" si="3"/>
        <v>0</v>
      </c>
      <c r="E19" s="91">
        <f t="shared" si="3"/>
        <v>0</v>
      </c>
      <c r="F19" s="91">
        <f t="shared" si="3"/>
        <v>0</v>
      </c>
      <c r="G19" s="91">
        <f t="shared" si="3"/>
        <v>0</v>
      </c>
      <c r="H19" s="91">
        <f t="shared" si="3"/>
        <v>0</v>
      </c>
      <c r="I19" s="91">
        <f t="shared" si="3"/>
        <v>0</v>
      </c>
      <c r="J19" s="91">
        <f t="shared" ref="J19:K49" si="6">1-Z19</f>
        <v>0</v>
      </c>
      <c r="K19" s="91">
        <f t="shared" si="6"/>
        <v>0</v>
      </c>
      <c r="L19" s="91">
        <f t="shared" si="4"/>
        <v>1.091717693993377E-2</v>
      </c>
      <c r="M19" s="91">
        <f t="shared" si="4"/>
        <v>0</v>
      </c>
      <c r="N19" s="91">
        <f t="shared" si="4"/>
        <v>0</v>
      </c>
      <c r="O19" s="91">
        <f t="shared" si="4"/>
        <v>0</v>
      </c>
      <c r="P19" s="91">
        <f t="shared" si="5"/>
        <v>7.7979835285241217E-4</v>
      </c>
      <c r="R19" s="91">
        <v>1</v>
      </c>
      <c r="S19" s="91">
        <v>1</v>
      </c>
      <c r="T19" s="91">
        <v>1</v>
      </c>
      <c r="U19" s="91">
        <v>1</v>
      </c>
      <c r="V19" s="91">
        <v>1</v>
      </c>
      <c r="W19" s="91">
        <v>1</v>
      </c>
      <c r="X19" s="91">
        <v>1</v>
      </c>
      <c r="Y19" s="91">
        <v>1</v>
      </c>
      <c r="Z19" s="91">
        <v>1</v>
      </c>
      <c r="AA19" s="91">
        <v>1</v>
      </c>
      <c r="AB19" s="91">
        <v>0.98908282306006623</v>
      </c>
      <c r="AC19" s="91">
        <v>1</v>
      </c>
      <c r="AD19" s="91">
        <v>1</v>
      </c>
      <c r="AE19" s="91">
        <v>1</v>
      </c>
      <c r="AF19" s="91">
        <f t="shared" si="2"/>
        <v>0.99922020164714753</v>
      </c>
    </row>
    <row r="20" spans="1:32" x14ac:dyDescent="0.25">
      <c r="A20" t="s">
        <v>79</v>
      </c>
      <c r="B20" s="91">
        <f t="shared" si="3"/>
        <v>2.7598499908619178E-2</v>
      </c>
      <c r="C20" s="91">
        <f t="shared" si="3"/>
        <v>0</v>
      </c>
      <c r="D20" s="91">
        <f t="shared" si="3"/>
        <v>0</v>
      </c>
      <c r="E20" s="91">
        <f t="shared" si="3"/>
        <v>0</v>
      </c>
      <c r="F20" s="91">
        <f t="shared" si="3"/>
        <v>0</v>
      </c>
      <c r="G20" s="91">
        <f t="shared" si="3"/>
        <v>0</v>
      </c>
      <c r="H20" s="91">
        <f t="shared" si="3"/>
        <v>0</v>
      </c>
      <c r="I20" s="91">
        <f t="shared" si="3"/>
        <v>0</v>
      </c>
      <c r="J20" s="91">
        <f t="shared" si="6"/>
        <v>1.5320455269483668E-2</v>
      </c>
      <c r="K20" s="91">
        <f t="shared" si="6"/>
        <v>0</v>
      </c>
      <c r="L20" s="91">
        <f t="shared" si="4"/>
        <v>3.4867191085003024E-2</v>
      </c>
      <c r="M20" s="91">
        <f t="shared" si="4"/>
        <v>5.8954854749323493E-2</v>
      </c>
      <c r="N20" s="91">
        <f t="shared" si="4"/>
        <v>4.4763369418633459E-2</v>
      </c>
      <c r="O20" s="91">
        <f t="shared" si="4"/>
        <v>3.9516563593850029E-2</v>
      </c>
      <c r="P20" s="91">
        <f t="shared" si="5"/>
        <v>1.5787209573208061E-2</v>
      </c>
      <c r="R20" s="91">
        <v>0.97240150009138082</v>
      </c>
      <c r="S20" s="91">
        <v>1</v>
      </c>
      <c r="T20" s="91">
        <v>1</v>
      </c>
      <c r="U20" s="91">
        <v>1</v>
      </c>
      <c r="V20" s="91">
        <v>1</v>
      </c>
      <c r="W20" s="91">
        <v>1</v>
      </c>
      <c r="X20" s="91">
        <v>1</v>
      </c>
      <c r="Y20" s="91">
        <v>1</v>
      </c>
      <c r="Z20" s="91">
        <v>0.98467954473051633</v>
      </c>
      <c r="AA20" s="91">
        <v>1</v>
      </c>
      <c r="AB20" s="91">
        <v>0.96513280891499698</v>
      </c>
      <c r="AC20" s="91">
        <v>0.94104514525067651</v>
      </c>
      <c r="AD20" s="91">
        <v>0.95523663058136654</v>
      </c>
      <c r="AE20" s="91">
        <v>0.96048343640614997</v>
      </c>
      <c r="AF20" s="91">
        <f t="shared" si="2"/>
        <v>0.98421279042679199</v>
      </c>
    </row>
    <row r="21" spans="1:32" x14ac:dyDescent="0.25">
      <c r="A21" t="s">
        <v>82</v>
      </c>
      <c r="B21" s="91">
        <f t="shared" si="3"/>
        <v>0.20504731861198733</v>
      </c>
      <c r="C21" s="91">
        <f t="shared" si="3"/>
        <v>9.3117408906882582E-2</v>
      </c>
      <c r="D21" s="91">
        <f t="shared" si="3"/>
        <v>0.25689655172413794</v>
      </c>
      <c r="E21" s="91">
        <f t="shared" si="3"/>
        <v>0.19341126461211477</v>
      </c>
      <c r="F21" s="91">
        <f t="shared" si="3"/>
        <v>0.25106382978723407</v>
      </c>
      <c r="G21" s="91">
        <f t="shared" si="3"/>
        <v>0.18483412322274884</v>
      </c>
      <c r="H21" s="91">
        <f t="shared" si="3"/>
        <v>0.18703808982376346</v>
      </c>
      <c r="I21" s="91">
        <f t="shared" si="3"/>
        <v>0.23667786845895344</v>
      </c>
      <c r="J21" s="91">
        <f t="shared" si="6"/>
        <v>0.15365653245686117</v>
      </c>
      <c r="K21" s="91">
        <f t="shared" si="6"/>
        <v>0.24023542001070086</v>
      </c>
      <c r="L21" s="91">
        <f t="shared" si="4"/>
        <v>0.31824858570280368</v>
      </c>
      <c r="M21" s="91">
        <f t="shared" si="4"/>
        <v>0.28659147662656703</v>
      </c>
      <c r="N21" s="91">
        <f t="shared" si="4"/>
        <v>0.29151789948547846</v>
      </c>
      <c r="O21" s="91">
        <f t="shared" si="4"/>
        <v>0.14767303295951251</v>
      </c>
      <c r="P21" s="91">
        <f t="shared" si="5"/>
        <v>0.21757210017069614</v>
      </c>
      <c r="R21" s="91">
        <v>0.79495268138801267</v>
      </c>
      <c r="S21" s="91">
        <v>0.90688259109311742</v>
      </c>
      <c r="T21" s="91">
        <v>0.74310344827586206</v>
      </c>
      <c r="U21" s="91">
        <v>0.80658873538788523</v>
      </c>
      <c r="V21" s="91">
        <v>0.74893617021276593</v>
      </c>
      <c r="W21" s="91">
        <v>0.81516587677725116</v>
      </c>
      <c r="X21" s="91">
        <v>0.81296191017623654</v>
      </c>
      <c r="Y21" s="91">
        <v>0.76332213154104656</v>
      </c>
      <c r="Z21" s="91">
        <v>0.84634346754313883</v>
      </c>
      <c r="AA21" s="91">
        <v>0.75976457998929914</v>
      </c>
      <c r="AB21" s="91">
        <v>0.68175141429719632</v>
      </c>
      <c r="AC21" s="91">
        <v>0.71340852337343297</v>
      </c>
      <c r="AD21" s="91">
        <v>0.70848210051452154</v>
      </c>
      <c r="AE21" s="91">
        <v>0.85232696704048749</v>
      </c>
      <c r="AF21" s="91">
        <f t="shared" si="2"/>
        <v>0.78242789982930383</v>
      </c>
    </row>
    <row r="22" spans="1:32" x14ac:dyDescent="0.25">
      <c r="A22" t="s">
        <v>81</v>
      </c>
      <c r="B22" s="91">
        <f t="shared" si="3"/>
        <v>8.4079743751057645E-2</v>
      </c>
      <c r="C22" s="91">
        <f t="shared" si="3"/>
        <v>0.53982300884955747</v>
      </c>
      <c r="D22" s="91">
        <f t="shared" si="3"/>
        <v>0.30795847750865057</v>
      </c>
      <c r="E22" s="91">
        <f t="shared" si="3"/>
        <v>0.24598269468479605</v>
      </c>
      <c r="F22" s="91">
        <f t="shared" si="3"/>
        <v>0.29883138564273792</v>
      </c>
      <c r="G22" s="91">
        <f t="shared" si="3"/>
        <v>0.40448113207547165</v>
      </c>
      <c r="H22" s="91">
        <f t="shared" si="3"/>
        <v>0.3603473227206947</v>
      </c>
      <c r="I22" s="91">
        <f t="shared" si="3"/>
        <v>0.25057295645530941</v>
      </c>
      <c r="J22" s="91">
        <f t="shared" si="6"/>
        <v>0.33705080545229249</v>
      </c>
      <c r="K22" s="91">
        <f t="shared" si="6"/>
        <v>0.42724196277495774</v>
      </c>
      <c r="L22" s="91">
        <f t="shared" si="4"/>
        <v>0.37476755641674542</v>
      </c>
      <c r="M22" s="91">
        <f t="shared" si="4"/>
        <v>0.4148504019353757</v>
      </c>
      <c r="N22" s="91">
        <f t="shared" si="4"/>
        <v>0.34946833936733779</v>
      </c>
      <c r="O22" s="91">
        <f t="shared" si="4"/>
        <v>0.36138081189909887</v>
      </c>
      <c r="P22" s="91">
        <f t="shared" si="5"/>
        <v>0.33977404282386303</v>
      </c>
      <c r="R22" s="91">
        <v>0.91592025624894235</v>
      </c>
      <c r="S22" s="91">
        <v>0.46017699115044247</v>
      </c>
      <c r="T22" s="91">
        <v>0.69204152249134943</v>
      </c>
      <c r="U22" s="91">
        <v>0.75401730531520395</v>
      </c>
      <c r="V22" s="91">
        <v>0.70116861435726208</v>
      </c>
      <c r="W22" s="91">
        <v>0.59551886792452835</v>
      </c>
      <c r="X22" s="91">
        <v>0.6396526772793053</v>
      </c>
      <c r="Y22" s="91">
        <v>0.74942704354469059</v>
      </c>
      <c r="Z22" s="91">
        <v>0.66294919454770751</v>
      </c>
      <c r="AA22" s="91">
        <v>0.57275803722504226</v>
      </c>
      <c r="AB22" s="91">
        <v>0.62523244358325458</v>
      </c>
      <c r="AC22" s="91">
        <v>0.5851495980646243</v>
      </c>
      <c r="AD22" s="91">
        <v>0.65053166063266221</v>
      </c>
      <c r="AE22" s="91">
        <v>0.63861918810090113</v>
      </c>
      <c r="AF22" s="91">
        <f t="shared" si="2"/>
        <v>0.66022595717613686</v>
      </c>
    </row>
    <row r="23" spans="1:32" x14ac:dyDescent="0.25">
      <c r="A23" t="s">
        <v>84</v>
      </c>
      <c r="B23" s="91">
        <f t="shared" si="3"/>
        <v>0.17395264116575593</v>
      </c>
      <c r="C23" s="91">
        <f t="shared" si="3"/>
        <v>0</v>
      </c>
      <c r="D23" s="91">
        <f t="shared" si="3"/>
        <v>0</v>
      </c>
      <c r="E23" s="91">
        <f t="shared" si="3"/>
        <v>2.8659778558672855E-2</v>
      </c>
      <c r="F23" s="91">
        <f t="shared" si="3"/>
        <v>0</v>
      </c>
      <c r="G23" s="91">
        <f t="shared" si="3"/>
        <v>0</v>
      </c>
      <c r="H23" s="91">
        <f t="shared" si="3"/>
        <v>0</v>
      </c>
      <c r="I23" s="91">
        <f t="shared" si="3"/>
        <v>0</v>
      </c>
      <c r="J23" s="91">
        <f t="shared" si="6"/>
        <v>0</v>
      </c>
      <c r="K23" s="91">
        <f t="shared" si="6"/>
        <v>0</v>
      </c>
      <c r="L23" s="91">
        <f t="shared" si="4"/>
        <v>2.7497048987494277E-2</v>
      </c>
      <c r="M23" s="91">
        <f t="shared" si="4"/>
        <v>0.11937402866282365</v>
      </c>
      <c r="N23" s="91">
        <f t="shared" si="4"/>
        <v>1.6101317615984989E-2</v>
      </c>
      <c r="O23" s="91">
        <f t="shared" si="4"/>
        <v>1.9698013427250638E-2</v>
      </c>
      <c r="P23" s="91">
        <f t="shared" si="5"/>
        <v>2.7520202029855882E-2</v>
      </c>
      <c r="R23" s="91">
        <v>0.82604735883424407</v>
      </c>
      <c r="S23" s="91">
        <v>1</v>
      </c>
      <c r="T23" s="91">
        <v>1</v>
      </c>
      <c r="U23" s="91">
        <v>0.97134022144132715</v>
      </c>
      <c r="V23" s="91">
        <v>1</v>
      </c>
      <c r="W23" s="91">
        <v>1</v>
      </c>
      <c r="X23" s="91">
        <v>1</v>
      </c>
      <c r="Y23" s="91">
        <v>1</v>
      </c>
      <c r="Z23" s="91">
        <v>1</v>
      </c>
      <c r="AA23" s="91">
        <v>1</v>
      </c>
      <c r="AB23" s="91">
        <v>0.97250295101250572</v>
      </c>
      <c r="AC23" s="91">
        <v>0.88062597133717635</v>
      </c>
      <c r="AD23" s="91">
        <v>0.98389868238401501</v>
      </c>
      <c r="AE23" s="91">
        <v>0.98030198657274936</v>
      </c>
      <c r="AF23" s="91">
        <f t="shared" si="2"/>
        <v>0.97247979797014428</v>
      </c>
    </row>
    <row r="24" spans="1:32" x14ac:dyDescent="0.25">
      <c r="A24" t="s">
        <v>78</v>
      </c>
      <c r="B24" s="91">
        <f t="shared" si="3"/>
        <v>0</v>
      </c>
      <c r="C24" s="91">
        <f t="shared" si="3"/>
        <v>0</v>
      </c>
      <c r="D24" s="91">
        <f t="shared" si="3"/>
        <v>0</v>
      </c>
      <c r="E24" s="91">
        <f t="shared" si="3"/>
        <v>0</v>
      </c>
      <c r="F24" s="91">
        <f t="shared" si="3"/>
        <v>0</v>
      </c>
      <c r="G24" s="91">
        <f t="shared" si="3"/>
        <v>0</v>
      </c>
      <c r="H24" s="91">
        <f t="shared" si="3"/>
        <v>0</v>
      </c>
      <c r="I24" s="91">
        <f t="shared" si="3"/>
        <v>0</v>
      </c>
      <c r="J24" s="91">
        <f t="shared" si="6"/>
        <v>0</v>
      </c>
      <c r="K24" s="91">
        <f t="shared" si="6"/>
        <v>0</v>
      </c>
      <c r="L24" s="91">
        <f t="shared" si="4"/>
        <v>2.4619348299748101E-4</v>
      </c>
      <c r="M24" s="91">
        <f t="shared" si="4"/>
        <v>5.0757420502989259E-4</v>
      </c>
      <c r="N24" s="91">
        <f t="shared" si="4"/>
        <v>2.7577596954553307E-4</v>
      </c>
      <c r="O24" s="91">
        <f t="shared" si="4"/>
        <v>3.197461907549215E-4</v>
      </c>
      <c r="P24" s="91">
        <f t="shared" si="5"/>
        <v>9.637784630913058E-5</v>
      </c>
      <c r="R24" s="91">
        <v>1</v>
      </c>
      <c r="S24" s="91">
        <v>1</v>
      </c>
      <c r="T24" s="91">
        <v>1</v>
      </c>
      <c r="U24" s="91">
        <v>1</v>
      </c>
      <c r="V24" s="91">
        <v>1</v>
      </c>
      <c r="W24" s="91">
        <v>1</v>
      </c>
      <c r="X24" s="91">
        <v>1</v>
      </c>
      <c r="Y24" s="91">
        <v>1</v>
      </c>
      <c r="Z24" s="91">
        <v>1</v>
      </c>
      <c r="AA24" s="91">
        <v>1</v>
      </c>
      <c r="AB24" s="91">
        <v>0.99975380651700252</v>
      </c>
      <c r="AC24" s="91">
        <v>0.99949242579497011</v>
      </c>
      <c r="AD24" s="91">
        <v>0.99972422403045447</v>
      </c>
      <c r="AE24" s="91">
        <v>0.99968025380924508</v>
      </c>
      <c r="AF24" s="91">
        <f t="shared" si="2"/>
        <v>0.999903622153691</v>
      </c>
    </row>
    <row r="25" spans="1:32" x14ac:dyDescent="0.25">
      <c r="A25" t="s">
        <v>83</v>
      </c>
      <c r="B25" s="91">
        <f t="shared" si="3"/>
        <v>0.14014251781472686</v>
      </c>
      <c r="C25" s="91">
        <f t="shared" si="3"/>
        <v>0.36469150885766644</v>
      </c>
      <c r="D25" s="91">
        <f t="shared" si="3"/>
        <v>0.32448262397500971</v>
      </c>
      <c r="E25" s="91">
        <f t="shared" si="3"/>
        <v>0.38126104890984092</v>
      </c>
      <c r="F25" s="91">
        <f t="shared" si="3"/>
        <v>0.28270042194092826</v>
      </c>
      <c r="G25" s="91">
        <f t="shared" si="3"/>
        <v>0.20209973753280841</v>
      </c>
      <c r="H25" s="91">
        <f t="shared" si="3"/>
        <v>6.043676993397662E-2</v>
      </c>
      <c r="I25" s="91">
        <f t="shared" si="3"/>
        <v>0.10186199342825852</v>
      </c>
      <c r="J25" s="91">
        <f t="shared" si="6"/>
        <v>0.13478516774573279</v>
      </c>
      <c r="K25" s="91">
        <f t="shared" si="6"/>
        <v>0.10702976567447753</v>
      </c>
      <c r="L25" s="91">
        <f t="shared" si="4"/>
        <v>6.310207207773022E-2</v>
      </c>
      <c r="M25" s="91">
        <f t="shared" si="4"/>
        <v>8.8618416176692083E-2</v>
      </c>
      <c r="N25" s="91">
        <f t="shared" si="4"/>
        <v>9.1940748653261295E-2</v>
      </c>
      <c r="O25" s="91">
        <f t="shared" si="4"/>
        <v>8.2809094084013379E-2</v>
      </c>
      <c r="P25" s="91">
        <f t="shared" si="5"/>
        <v>0.17328299191465163</v>
      </c>
      <c r="R25" s="91">
        <v>0.85985748218527314</v>
      </c>
      <c r="S25" s="91">
        <v>0.63530849114233356</v>
      </c>
      <c r="T25" s="91">
        <v>0.67551737602499029</v>
      </c>
      <c r="U25" s="91">
        <v>0.61873895109015908</v>
      </c>
      <c r="V25" s="91">
        <v>0.71729957805907174</v>
      </c>
      <c r="W25" s="91">
        <v>0.79790026246719159</v>
      </c>
      <c r="X25" s="91">
        <v>0.93956323006602338</v>
      </c>
      <c r="Y25" s="91">
        <v>0.89813800657174148</v>
      </c>
      <c r="Z25" s="91">
        <v>0.86521483225426721</v>
      </c>
      <c r="AA25" s="91">
        <v>0.89297023432552247</v>
      </c>
      <c r="AB25" s="91">
        <v>0.93689792792226978</v>
      </c>
      <c r="AC25" s="91">
        <v>0.91138158382330792</v>
      </c>
      <c r="AD25" s="91">
        <v>0.90805925134673871</v>
      </c>
      <c r="AE25" s="91">
        <v>0.91719090591598662</v>
      </c>
      <c r="AF25" s="91">
        <f t="shared" si="2"/>
        <v>0.82671700808534854</v>
      </c>
    </row>
    <row r="26" spans="1:32" x14ac:dyDescent="0.25">
      <c r="A26" t="s">
        <v>85</v>
      </c>
      <c r="B26" s="91">
        <f t="shared" si="3"/>
        <v>0</v>
      </c>
      <c r="C26" s="91">
        <f t="shared" si="3"/>
        <v>0</v>
      </c>
      <c r="D26" s="91">
        <f t="shared" si="3"/>
        <v>0.14449973430760732</v>
      </c>
      <c r="E26" s="91">
        <f t="shared" si="3"/>
        <v>0</v>
      </c>
      <c r="F26" s="91">
        <f t="shared" si="3"/>
        <v>0</v>
      </c>
      <c r="G26" s="91">
        <f t="shared" si="3"/>
        <v>1.9922178730655715E-2</v>
      </c>
      <c r="H26" s="91">
        <f t="shared" si="3"/>
        <v>0</v>
      </c>
      <c r="I26" s="91">
        <f t="shared" si="3"/>
        <v>0</v>
      </c>
      <c r="J26" s="91">
        <f t="shared" si="6"/>
        <v>0</v>
      </c>
      <c r="K26" s="91">
        <f t="shared" si="6"/>
        <v>0</v>
      </c>
      <c r="L26" s="91">
        <f t="shared" si="4"/>
        <v>6.6413457688832001E-3</v>
      </c>
      <c r="M26" s="91">
        <f t="shared" si="4"/>
        <v>2.3476119331134915E-2</v>
      </c>
      <c r="N26" s="91">
        <f t="shared" si="4"/>
        <v>5.0550965425846806E-2</v>
      </c>
      <c r="O26" s="91">
        <f t="shared" si="4"/>
        <v>7.1146382587256252E-2</v>
      </c>
      <c r="P26" s="91">
        <f t="shared" si="5"/>
        <v>2.2588337582241731E-2</v>
      </c>
      <c r="R26" s="91">
        <v>1</v>
      </c>
      <c r="S26" s="91">
        <v>1</v>
      </c>
      <c r="T26" s="91">
        <v>0.85550026569239268</v>
      </c>
      <c r="U26" s="91">
        <v>1</v>
      </c>
      <c r="V26" s="91">
        <v>1</v>
      </c>
      <c r="W26" s="91">
        <v>0.98007782126934428</v>
      </c>
      <c r="X26" s="91">
        <v>1</v>
      </c>
      <c r="Y26" s="91">
        <v>1</v>
      </c>
      <c r="Z26" s="91">
        <v>1</v>
      </c>
      <c r="AA26" s="91">
        <v>1</v>
      </c>
      <c r="AB26" s="91">
        <v>0.9933586542311168</v>
      </c>
      <c r="AC26" s="91">
        <v>0.97652388066886509</v>
      </c>
      <c r="AD26" s="91">
        <v>0.94944903457415319</v>
      </c>
      <c r="AE26" s="91">
        <v>0.92885361741274375</v>
      </c>
      <c r="AF26" s="91">
        <f t="shared" si="2"/>
        <v>0.97741166241775812</v>
      </c>
    </row>
    <row r="27" spans="1:32" x14ac:dyDescent="0.25">
      <c r="A27" t="s">
        <v>88</v>
      </c>
      <c r="B27" s="91">
        <f t="shared" si="3"/>
        <v>0.43260694108151732</v>
      </c>
      <c r="C27" s="91">
        <f t="shared" si="3"/>
        <v>0.15825242718446597</v>
      </c>
      <c r="D27" s="91">
        <f t="shared" si="3"/>
        <v>0.27982832618025755</v>
      </c>
      <c r="E27" s="91">
        <f t="shared" si="3"/>
        <v>0.150313166618673</v>
      </c>
      <c r="F27" s="91">
        <f t="shared" si="3"/>
        <v>0.29833958221746115</v>
      </c>
      <c r="G27" s="91">
        <f t="shared" si="3"/>
        <v>0.4067378800328677</v>
      </c>
      <c r="H27" s="91">
        <f t="shared" si="3"/>
        <v>4.5736526974239022E-2</v>
      </c>
      <c r="I27" s="91">
        <f t="shared" si="3"/>
        <v>0.20967741935483875</v>
      </c>
      <c r="J27" s="91">
        <f t="shared" si="6"/>
        <v>0.154228855721393</v>
      </c>
      <c r="K27" s="91">
        <f t="shared" si="6"/>
        <v>0.37840785169029445</v>
      </c>
      <c r="L27" s="91">
        <f t="shared" si="4"/>
        <v>0.4642542619146881</v>
      </c>
      <c r="M27" s="91">
        <f t="shared" si="4"/>
        <v>0.4824150353019675</v>
      </c>
      <c r="N27" s="91">
        <f t="shared" si="4"/>
        <v>0.39551440303821661</v>
      </c>
      <c r="O27" s="91">
        <f t="shared" si="4"/>
        <v>0.3912044302880674</v>
      </c>
      <c r="P27" s="91">
        <f t="shared" si="5"/>
        <v>0.30339407911421057</v>
      </c>
      <c r="R27" s="91">
        <v>0.56739305891848268</v>
      </c>
      <c r="S27" s="91">
        <v>0.84174757281553403</v>
      </c>
      <c r="T27" s="91">
        <v>0.72017167381974245</v>
      </c>
      <c r="U27" s="91">
        <v>0.849686833381327</v>
      </c>
      <c r="V27" s="91">
        <v>0.70166041778253885</v>
      </c>
      <c r="W27" s="91">
        <v>0.5932621199671323</v>
      </c>
      <c r="X27" s="91">
        <v>0.95426347302576098</v>
      </c>
      <c r="Y27" s="91">
        <v>0.79032258064516125</v>
      </c>
      <c r="Z27" s="91">
        <v>0.845771144278607</v>
      </c>
      <c r="AA27" s="91">
        <v>0.62159214830970555</v>
      </c>
      <c r="AB27" s="91">
        <v>0.5357457380853119</v>
      </c>
      <c r="AC27" s="91">
        <v>0.5175849646980325</v>
      </c>
      <c r="AD27" s="91">
        <v>0.60448559696178339</v>
      </c>
      <c r="AE27" s="91">
        <v>0.6087955697119326</v>
      </c>
      <c r="AF27" s="91">
        <f t="shared" si="2"/>
        <v>0.69660592088578954</v>
      </c>
    </row>
    <row r="28" spans="1:32" x14ac:dyDescent="0.25">
      <c r="A28" t="s">
        <v>91</v>
      </c>
      <c r="B28" s="91">
        <f t="shared" si="3"/>
        <v>4.2684438156718518E-2</v>
      </c>
      <c r="C28" s="91">
        <f t="shared" si="3"/>
        <v>6.2203267540476004E-2</v>
      </c>
      <c r="D28" s="91">
        <f t="shared" si="3"/>
        <v>0</v>
      </c>
      <c r="E28" s="91">
        <f t="shared" si="3"/>
        <v>3.8147166763792484E-2</v>
      </c>
      <c r="F28" s="91">
        <f t="shared" si="3"/>
        <v>2.3547526946332664E-2</v>
      </c>
      <c r="G28" s="91">
        <f t="shared" si="3"/>
        <v>0</v>
      </c>
      <c r="H28" s="91">
        <f t="shared" si="3"/>
        <v>0</v>
      </c>
      <c r="I28" s="91">
        <f t="shared" si="3"/>
        <v>2.4842271665061255E-2</v>
      </c>
      <c r="J28" s="91">
        <f t="shared" si="6"/>
        <v>0</v>
      </c>
      <c r="K28" s="91">
        <f t="shared" si="6"/>
        <v>0.13329623654407374</v>
      </c>
      <c r="L28" s="91">
        <f t="shared" si="4"/>
        <v>1.0235272759517855E-4</v>
      </c>
      <c r="M28" s="91">
        <f t="shared" si="4"/>
        <v>8.1840763240158876E-2</v>
      </c>
      <c r="N28" s="91">
        <f t="shared" si="4"/>
        <v>2.0163683372896646E-2</v>
      </c>
      <c r="O28" s="91">
        <f t="shared" si="4"/>
        <v>1.8268320597076393E-2</v>
      </c>
      <c r="P28" s="91">
        <f t="shared" si="5"/>
        <v>3.1792573396727267E-2</v>
      </c>
      <c r="R28" s="91">
        <v>0.95731556184328148</v>
      </c>
      <c r="S28" s="91">
        <v>0.937796732459524</v>
      </c>
      <c r="T28" s="91">
        <v>1</v>
      </c>
      <c r="U28" s="91">
        <v>0.96185283323620752</v>
      </c>
      <c r="V28" s="91">
        <v>0.97645247305366734</v>
      </c>
      <c r="W28" s="91">
        <v>1</v>
      </c>
      <c r="X28" s="91">
        <v>1</v>
      </c>
      <c r="Y28" s="91">
        <v>0.97515772833493874</v>
      </c>
      <c r="Z28" s="91">
        <v>1</v>
      </c>
      <c r="AA28" s="91">
        <v>0.86670376345592626</v>
      </c>
      <c r="AB28" s="91">
        <v>0.99989764727240482</v>
      </c>
      <c r="AC28" s="91">
        <v>0.91815923675984112</v>
      </c>
      <c r="AD28" s="91">
        <v>0.97983631662710335</v>
      </c>
      <c r="AE28" s="91">
        <v>0.98173167940292361</v>
      </c>
      <c r="AF28" s="91">
        <f t="shared" si="2"/>
        <v>0.96820742660327264</v>
      </c>
    </row>
    <row r="29" spans="1:32" x14ac:dyDescent="0.25">
      <c r="A29" t="s">
        <v>89</v>
      </c>
      <c r="B29" s="91">
        <f t="shared" si="3"/>
        <v>0</v>
      </c>
      <c r="C29" s="91">
        <f t="shared" si="3"/>
        <v>0</v>
      </c>
      <c r="D29" s="91">
        <f t="shared" si="3"/>
        <v>0</v>
      </c>
      <c r="E29" s="91">
        <f t="shared" si="3"/>
        <v>0</v>
      </c>
      <c r="F29" s="91">
        <f t="shared" si="3"/>
        <v>0</v>
      </c>
      <c r="G29" s="91">
        <f t="shared" si="3"/>
        <v>0</v>
      </c>
      <c r="H29" s="91">
        <f t="shared" si="3"/>
        <v>0</v>
      </c>
      <c r="I29" s="91">
        <f t="shared" si="3"/>
        <v>0</v>
      </c>
      <c r="J29" s="91">
        <f t="shared" si="6"/>
        <v>0</v>
      </c>
      <c r="K29" s="91">
        <f t="shared" si="6"/>
        <v>0</v>
      </c>
      <c r="L29" s="91">
        <f t="shared" si="4"/>
        <v>0</v>
      </c>
      <c r="M29" s="91">
        <f t="shared" si="4"/>
        <v>0</v>
      </c>
      <c r="N29" s="91">
        <f t="shared" si="4"/>
        <v>0</v>
      </c>
      <c r="O29" s="91">
        <f t="shared" si="4"/>
        <v>0</v>
      </c>
      <c r="P29" s="91">
        <f t="shared" si="5"/>
        <v>0</v>
      </c>
      <c r="R29" s="91">
        <v>1</v>
      </c>
      <c r="S29" s="91">
        <v>1</v>
      </c>
      <c r="T29" s="91">
        <v>1</v>
      </c>
      <c r="U29" s="91">
        <v>1</v>
      </c>
      <c r="V29" s="91">
        <v>1</v>
      </c>
      <c r="W29" s="91">
        <v>1</v>
      </c>
      <c r="X29" s="91">
        <v>1</v>
      </c>
      <c r="Y29" s="91">
        <v>1</v>
      </c>
      <c r="Z29" s="91">
        <v>1</v>
      </c>
      <c r="AA29" s="91">
        <v>1</v>
      </c>
      <c r="AB29" s="91">
        <v>1</v>
      </c>
      <c r="AC29" s="91">
        <v>1</v>
      </c>
      <c r="AD29" s="91">
        <v>1</v>
      </c>
      <c r="AE29" s="91">
        <v>1</v>
      </c>
      <c r="AF29" s="91">
        <f t="shared" si="2"/>
        <v>1</v>
      </c>
    </row>
    <row r="30" spans="1:32" x14ac:dyDescent="0.25">
      <c r="A30" t="s">
        <v>90</v>
      </c>
      <c r="B30" s="91">
        <f t="shared" si="3"/>
        <v>2.7461631281587739E-2</v>
      </c>
      <c r="C30" s="91">
        <f t="shared" si="3"/>
        <v>7.958566876420714E-3</v>
      </c>
      <c r="D30" s="91">
        <f t="shared" si="3"/>
        <v>1.3134285509222687E-2</v>
      </c>
      <c r="E30" s="91">
        <f t="shared" si="3"/>
        <v>8.8695652173913064E-2</v>
      </c>
      <c r="F30" s="91">
        <f t="shared" si="3"/>
        <v>0.22008983258472847</v>
      </c>
      <c r="G30" s="91">
        <f t="shared" si="3"/>
        <v>6.0878010344085132E-2</v>
      </c>
      <c r="H30" s="91">
        <f t="shared" si="3"/>
        <v>5.1913282040872977E-2</v>
      </c>
      <c r="I30" s="91">
        <f t="shared" si="3"/>
        <v>5.7936149244925406E-2</v>
      </c>
      <c r="J30" s="91">
        <f t="shared" si="6"/>
        <v>7.2390217595006856E-2</v>
      </c>
      <c r="K30" s="91">
        <f t="shared" si="6"/>
        <v>0</v>
      </c>
      <c r="L30" s="91">
        <f t="shared" si="4"/>
        <v>5.4709229306000529E-2</v>
      </c>
      <c r="M30" s="91">
        <f t="shared" si="4"/>
        <v>1.9530860301709807E-2</v>
      </c>
      <c r="N30" s="91">
        <f t="shared" si="4"/>
        <v>5.591417687573641E-2</v>
      </c>
      <c r="O30" s="91">
        <f t="shared" si="4"/>
        <v>8.6427192716674206E-2</v>
      </c>
      <c r="P30" s="91">
        <f t="shared" si="5"/>
        <v>5.8359934775063141E-2</v>
      </c>
      <c r="R30" s="91">
        <v>0.97253836871841226</v>
      </c>
      <c r="S30" s="91">
        <v>0.99204143312357929</v>
      </c>
      <c r="T30" s="91">
        <v>0.98686571449077731</v>
      </c>
      <c r="U30" s="91">
        <v>0.91130434782608694</v>
      </c>
      <c r="V30" s="91">
        <v>0.77991016741527153</v>
      </c>
      <c r="W30" s="91">
        <v>0.93912198965591487</v>
      </c>
      <c r="X30" s="91">
        <v>0.94808671795912702</v>
      </c>
      <c r="Y30" s="91">
        <v>0.94206385075507459</v>
      </c>
      <c r="Z30" s="91">
        <v>0.92760978240499314</v>
      </c>
      <c r="AA30" s="91">
        <v>1</v>
      </c>
      <c r="AB30" s="91">
        <v>0.94529077069399947</v>
      </c>
      <c r="AC30" s="91">
        <v>0.98046913969829019</v>
      </c>
      <c r="AD30" s="91">
        <v>0.94408582312426359</v>
      </c>
      <c r="AE30" s="91">
        <v>0.91357280728332579</v>
      </c>
      <c r="AF30" s="91">
        <f t="shared" si="2"/>
        <v>0.94164006522493671</v>
      </c>
    </row>
    <row r="31" spans="1:32" x14ac:dyDescent="0.25">
      <c r="A31" t="s">
        <v>92</v>
      </c>
      <c r="B31" s="91">
        <f t="shared" si="3"/>
        <v>7.7241103865590466E-2</v>
      </c>
      <c r="C31" s="91">
        <f t="shared" si="3"/>
        <v>5.1211913798120401E-2</v>
      </c>
      <c r="D31" s="91">
        <f t="shared" si="3"/>
        <v>0.1145038167938931</v>
      </c>
      <c r="E31" s="91">
        <f t="shared" si="3"/>
        <v>0</v>
      </c>
      <c r="F31" s="91">
        <f t="shared" si="3"/>
        <v>0.10795742524075014</v>
      </c>
      <c r="G31" s="91">
        <f t="shared" si="3"/>
        <v>5.2795797176947046E-2</v>
      </c>
      <c r="H31" s="91">
        <f t="shared" si="3"/>
        <v>0.11385617916677426</v>
      </c>
      <c r="I31" s="91">
        <f t="shared" si="3"/>
        <v>1.838666259604893E-2</v>
      </c>
      <c r="J31" s="91">
        <f t="shared" si="6"/>
        <v>9.1838491665904298E-3</v>
      </c>
      <c r="K31" s="91">
        <f t="shared" si="6"/>
        <v>2.725188869247297E-2</v>
      </c>
      <c r="L31" s="91">
        <f t="shared" si="4"/>
        <v>3.8413290008096679E-2</v>
      </c>
      <c r="M31" s="91">
        <f t="shared" si="4"/>
        <v>0.12294202657943176</v>
      </c>
      <c r="N31" s="91">
        <f t="shared" si="4"/>
        <v>4.6251208048919801E-2</v>
      </c>
      <c r="O31" s="91">
        <f t="shared" si="4"/>
        <v>5.2837771279814372E-2</v>
      </c>
      <c r="P31" s="91">
        <f t="shared" si="5"/>
        <v>5.9488066600960739E-2</v>
      </c>
      <c r="R31" s="91">
        <v>0.92275889613440953</v>
      </c>
      <c r="S31" s="91">
        <v>0.9487880862018796</v>
      </c>
      <c r="T31" s="91">
        <v>0.8854961832061069</v>
      </c>
      <c r="U31" s="91">
        <v>1</v>
      </c>
      <c r="V31" s="91">
        <v>0.89204257475924986</v>
      </c>
      <c r="W31" s="91">
        <v>0.94720420282305295</v>
      </c>
      <c r="X31" s="91">
        <v>0.88614382083322574</v>
      </c>
      <c r="Y31" s="91">
        <v>0.98161333740395107</v>
      </c>
      <c r="Z31" s="91">
        <v>0.99081615083340957</v>
      </c>
      <c r="AA31" s="91">
        <v>0.97274811130752703</v>
      </c>
      <c r="AB31" s="91">
        <v>0.96158670999190332</v>
      </c>
      <c r="AC31" s="91">
        <v>0.87705797342056824</v>
      </c>
      <c r="AD31" s="91">
        <v>0.9537487919510802</v>
      </c>
      <c r="AE31" s="91">
        <v>0.94716222872018563</v>
      </c>
      <c r="AF31" s="91">
        <f t="shared" si="2"/>
        <v>0.94051193339903949</v>
      </c>
    </row>
    <row r="32" spans="1:32" x14ac:dyDescent="0.25">
      <c r="A32" t="s">
        <v>86</v>
      </c>
      <c r="B32" s="91">
        <f t="shared" si="3"/>
        <v>1.668852050416314E-2</v>
      </c>
      <c r="C32" s="91">
        <f t="shared" si="3"/>
        <v>0</v>
      </c>
      <c r="D32" s="91">
        <f t="shared" si="3"/>
        <v>3.273370687112942E-2</v>
      </c>
      <c r="E32" s="91">
        <f t="shared" si="3"/>
        <v>0</v>
      </c>
      <c r="F32" s="91">
        <f t="shared" si="3"/>
        <v>7.0950468540829981E-2</v>
      </c>
      <c r="G32" s="91">
        <f t="shared" si="3"/>
        <v>0.1546649968691296</v>
      </c>
      <c r="H32" s="91">
        <f t="shared" si="3"/>
        <v>4.0465971796443845E-2</v>
      </c>
      <c r="I32" s="91">
        <f t="shared" si="3"/>
        <v>2.2880250322959483E-2</v>
      </c>
      <c r="J32" s="91">
        <f t="shared" si="6"/>
        <v>3.7597472243963259E-2</v>
      </c>
      <c r="K32" s="91">
        <f t="shared" si="6"/>
        <v>0.17184265010351962</v>
      </c>
      <c r="L32" s="91">
        <f t="shared" si="4"/>
        <v>0.1187244910992844</v>
      </c>
      <c r="M32" s="91">
        <f t="shared" si="4"/>
        <v>0.13971833073024675</v>
      </c>
      <c r="N32" s="91">
        <f t="shared" si="4"/>
        <v>2.7860695580554928E-3</v>
      </c>
      <c r="O32" s="91">
        <f t="shared" si="4"/>
        <v>7.1637845892890462E-2</v>
      </c>
      <c r="P32" s="91">
        <f t="shared" si="5"/>
        <v>6.2906483895186813E-2</v>
      </c>
      <c r="R32" s="91">
        <v>0.98331147949583686</v>
      </c>
      <c r="S32" s="91">
        <v>1</v>
      </c>
      <c r="T32" s="91">
        <v>0.96726629312887058</v>
      </c>
      <c r="U32" s="91">
        <v>1</v>
      </c>
      <c r="V32" s="91">
        <v>0.92904953145917002</v>
      </c>
      <c r="W32" s="91">
        <v>0.8453350031308704</v>
      </c>
      <c r="X32" s="91">
        <v>0.95953402820355616</v>
      </c>
      <c r="Y32" s="91">
        <v>0.97711974967704052</v>
      </c>
      <c r="Z32" s="91">
        <v>0.96240252775603674</v>
      </c>
      <c r="AA32" s="91">
        <v>0.82815734989648038</v>
      </c>
      <c r="AB32" s="91">
        <v>0.8812755089007156</v>
      </c>
      <c r="AC32" s="91">
        <v>0.86028166926975325</v>
      </c>
      <c r="AD32" s="91">
        <v>0.99721393044194451</v>
      </c>
      <c r="AE32" s="91">
        <v>0.92836215410710954</v>
      </c>
      <c r="AF32" s="91">
        <f t="shared" si="2"/>
        <v>0.93709351610481317</v>
      </c>
    </row>
    <row r="33" spans="1:32" x14ac:dyDescent="0.25">
      <c r="A33" t="s">
        <v>87</v>
      </c>
      <c r="B33" s="91">
        <f t="shared" si="3"/>
        <v>0.33040421792618624</v>
      </c>
      <c r="C33" s="91">
        <f t="shared" si="3"/>
        <v>0.24760076775431861</v>
      </c>
      <c r="D33" s="91">
        <f t="shared" si="3"/>
        <v>0.32061068702290074</v>
      </c>
      <c r="E33" s="91">
        <f t="shared" si="3"/>
        <v>0.22422954303931986</v>
      </c>
      <c r="F33" s="91">
        <f t="shared" si="3"/>
        <v>0.1544333529066354</v>
      </c>
      <c r="G33" s="91">
        <f t="shared" si="3"/>
        <v>0.19999999999999996</v>
      </c>
      <c r="H33" s="91">
        <f t="shared" si="3"/>
        <v>8.1706435285610945E-2</v>
      </c>
      <c r="I33" s="91">
        <f t="shared" si="3"/>
        <v>0.2120075046904315</v>
      </c>
      <c r="J33" s="91">
        <f t="shared" si="6"/>
        <v>0.19363395225464186</v>
      </c>
      <c r="K33" s="91">
        <f t="shared" si="6"/>
        <v>0.43670348343245535</v>
      </c>
      <c r="L33" s="91">
        <f t="shared" si="4"/>
        <v>0.29542013572000181</v>
      </c>
      <c r="M33" s="91">
        <f t="shared" si="4"/>
        <v>0.41034614545492853</v>
      </c>
      <c r="N33" s="91">
        <f t="shared" si="4"/>
        <v>0.39036847597645397</v>
      </c>
      <c r="O33" s="91">
        <f t="shared" si="4"/>
        <v>0.2434123822299179</v>
      </c>
      <c r="P33" s="91">
        <f t="shared" si="5"/>
        <v>0.26720550597812881</v>
      </c>
      <c r="R33" s="91">
        <v>0.66959578207381376</v>
      </c>
      <c r="S33" s="91">
        <v>0.75239923224568139</v>
      </c>
      <c r="T33" s="91">
        <v>0.67938931297709926</v>
      </c>
      <c r="U33" s="91">
        <v>0.77577045696068014</v>
      </c>
      <c r="V33" s="91">
        <v>0.8455666470933646</v>
      </c>
      <c r="W33" s="91">
        <v>0.8</v>
      </c>
      <c r="X33" s="91">
        <v>0.91829356471438905</v>
      </c>
      <c r="Y33" s="91">
        <v>0.7879924953095685</v>
      </c>
      <c r="Z33" s="91">
        <v>0.80636604774535814</v>
      </c>
      <c r="AA33" s="91">
        <v>0.56329651656754465</v>
      </c>
      <c r="AB33" s="91">
        <v>0.70457986427999819</v>
      </c>
      <c r="AC33" s="91">
        <v>0.58965385454507147</v>
      </c>
      <c r="AD33" s="91">
        <v>0.60963152402354603</v>
      </c>
      <c r="AE33" s="91">
        <v>0.7565876177700821</v>
      </c>
      <c r="AF33" s="91">
        <f t="shared" si="2"/>
        <v>0.73279449402187136</v>
      </c>
    </row>
    <row r="34" spans="1:32" x14ac:dyDescent="0.25">
      <c r="A34" t="s">
        <v>93</v>
      </c>
      <c r="B34" s="91">
        <f t="shared" si="3"/>
        <v>0.21689059500959695</v>
      </c>
      <c r="C34" s="91">
        <f t="shared" si="3"/>
        <v>0.10409865796155238</v>
      </c>
      <c r="D34" s="91">
        <f t="shared" si="3"/>
        <v>0.2350746268656716</v>
      </c>
      <c r="E34" s="91">
        <f t="shared" si="3"/>
        <v>1.6934388760021069E-2</v>
      </c>
      <c r="F34" s="91">
        <f t="shared" si="3"/>
        <v>0.17510422870756404</v>
      </c>
      <c r="G34" s="91">
        <f t="shared" si="3"/>
        <v>2.5743182162193068E-2</v>
      </c>
      <c r="H34" s="91">
        <f t="shared" si="3"/>
        <v>0.13404114134041145</v>
      </c>
      <c r="I34" s="91">
        <f t="shared" si="3"/>
        <v>1.3278775233577234E-2</v>
      </c>
      <c r="J34" s="91">
        <f t="shared" si="6"/>
        <v>5.6325567679150645E-2</v>
      </c>
      <c r="K34" s="91">
        <f t="shared" si="6"/>
        <v>6.9704366693788988E-2</v>
      </c>
      <c r="L34" s="91">
        <f t="shared" si="4"/>
        <v>7.9172080890906993E-2</v>
      </c>
      <c r="M34" s="91">
        <f t="shared" si="4"/>
        <v>0.15786000434783609</v>
      </c>
      <c r="N34" s="91">
        <f t="shared" si="4"/>
        <v>6.529047188410031E-2</v>
      </c>
      <c r="O34" s="91">
        <f t="shared" si="4"/>
        <v>3.3931121300431188E-2</v>
      </c>
      <c r="P34" s="91">
        <f t="shared" si="5"/>
        <v>9.8817800631200145E-2</v>
      </c>
      <c r="R34" s="91">
        <v>0.78310940499040305</v>
      </c>
      <c r="S34" s="91">
        <v>0.89590134203844762</v>
      </c>
      <c r="T34" s="91">
        <v>0.7649253731343284</v>
      </c>
      <c r="U34" s="91">
        <v>0.98306561123997893</v>
      </c>
      <c r="V34" s="91">
        <v>0.82489577129243596</v>
      </c>
      <c r="W34" s="91">
        <v>0.97425681783780693</v>
      </c>
      <c r="X34" s="91">
        <v>0.86595885865958855</v>
      </c>
      <c r="Y34" s="91">
        <v>0.98672122476642277</v>
      </c>
      <c r="Z34" s="91">
        <v>0.94367443232084935</v>
      </c>
      <c r="AA34" s="91">
        <v>0.93029563330621101</v>
      </c>
      <c r="AB34" s="91">
        <v>0.92082791910909301</v>
      </c>
      <c r="AC34" s="91">
        <v>0.84213999565216391</v>
      </c>
      <c r="AD34" s="91">
        <v>0.93470952811589969</v>
      </c>
      <c r="AE34" s="91">
        <v>0.96606887869956881</v>
      </c>
      <c r="AF34" s="91">
        <f t="shared" si="2"/>
        <v>0.90118219936879984</v>
      </c>
    </row>
    <row r="35" spans="1:32" x14ac:dyDescent="0.25">
      <c r="A35" t="s">
        <v>94</v>
      </c>
      <c r="B35" s="91">
        <f t="shared" si="3"/>
        <v>0.20196238757154539</v>
      </c>
      <c r="C35" s="91">
        <f t="shared" si="3"/>
        <v>0.1964285714285714</v>
      </c>
      <c r="D35" s="91">
        <f t="shared" si="3"/>
        <v>0.19177075679647315</v>
      </c>
      <c r="E35" s="91">
        <f t="shared" si="3"/>
        <v>0.15159944367176637</v>
      </c>
      <c r="F35" s="91">
        <f t="shared" si="3"/>
        <v>0.31818181818181823</v>
      </c>
      <c r="G35" s="91">
        <f t="shared" si="3"/>
        <v>0.2398327632079057</v>
      </c>
      <c r="H35" s="91">
        <f t="shared" si="3"/>
        <v>0.23922231614539302</v>
      </c>
      <c r="I35" s="91">
        <f t="shared" si="3"/>
        <v>0.21412300683371299</v>
      </c>
      <c r="J35" s="91">
        <f t="shared" si="6"/>
        <v>0.19210053859964094</v>
      </c>
      <c r="K35" s="91">
        <f t="shared" si="6"/>
        <v>0.17345276872964166</v>
      </c>
      <c r="L35" s="91">
        <f t="shared" si="4"/>
        <v>0.18963983690923103</v>
      </c>
      <c r="M35" s="91">
        <f t="shared" si="4"/>
        <v>0.22109112262090425</v>
      </c>
      <c r="N35" s="91">
        <f t="shared" si="4"/>
        <v>0.21423145582435221</v>
      </c>
      <c r="O35" s="91">
        <f t="shared" si="4"/>
        <v>0.28484920554702631</v>
      </c>
      <c r="P35" s="91">
        <f t="shared" si="5"/>
        <v>0.2163204280048559</v>
      </c>
      <c r="R35" s="91">
        <v>0.79803761242845461</v>
      </c>
      <c r="S35" s="91">
        <v>0.8035714285714286</v>
      </c>
      <c r="T35" s="91">
        <v>0.80822924320352685</v>
      </c>
      <c r="U35" s="91">
        <v>0.84840055632823363</v>
      </c>
      <c r="V35" s="91">
        <v>0.68181818181818177</v>
      </c>
      <c r="W35" s="91">
        <v>0.7601672367920943</v>
      </c>
      <c r="X35" s="91">
        <v>0.76077768385460698</v>
      </c>
      <c r="Y35" s="91">
        <v>0.78587699316628701</v>
      </c>
      <c r="Z35" s="91">
        <v>0.80789946140035906</v>
      </c>
      <c r="AA35" s="91">
        <v>0.82654723127035834</v>
      </c>
      <c r="AB35" s="91">
        <v>0.81036016309076897</v>
      </c>
      <c r="AC35" s="91">
        <v>0.77890887737909575</v>
      </c>
      <c r="AD35" s="91">
        <v>0.78576854417564779</v>
      </c>
      <c r="AE35" s="91">
        <v>0.71515079445297369</v>
      </c>
      <c r="AF35" s="91">
        <f t="shared" si="2"/>
        <v>0.78367957199514404</v>
      </c>
    </row>
    <row r="36" spans="1:32" x14ac:dyDescent="0.25">
      <c r="A36" t="s">
        <v>95</v>
      </c>
      <c r="B36" s="91">
        <f t="shared" si="3"/>
        <v>0</v>
      </c>
      <c r="C36" s="91">
        <f t="shared" si="3"/>
        <v>3.5310018584220337E-2</v>
      </c>
      <c r="D36" s="91">
        <f t="shared" si="3"/>
        <v>0.15028572578279231</v>
      </c>
      <c r="E36" s="91">
        <f t="shared" si="3"/>
        <v>0</v>
      </c>
      <c r="F36" s="91">
        <f t="shared" si="3"/>
        <v>2.657943226622872E-2</v>
      </c>
      <c r="G36" s="91">
        <f t="shared" si="3"/>
        <v>8.4234793868526836E-2</v>
      </c>
      <c r="H36" s="91">
        <f t="shared" si="3"/>
        <v>0</v>
      </c>
      <c r="I36" s="91">
        <f t="shared" si="3"/>
        <v>3.3232123170904293E-3</v>
      </c>
      <c r="J36" s="91">
        <f t="shared" si="6"/>
        <v>0.19414483821263484</v>
      </c>
      <c r="K36" s="91">
        <f t="shared" si="6"/>
        <v>0.21025641025641029</v>
      </c>
      <c r="L36" s="91">
        <f t="shared" si="4"/>
        <v>0.2341520154197575</v>
      </c>
      <c r="M36" s="91">
        <f t="shared" si="4"/>
        <v>0.13824031266799974</v>
      </c>
      <c r="N36" s="91">
        <f t="shared" si="4"/>
        <v>5.0398777140496787E-2</v>
      </c>
      <c r="O36" s="91">
        <f t="shared" si="4"/>
        <v>6.6048754063803616E-2</v>
      </c>
      <c r="P36" s="91">
        <f t="shared" si="5"/>
        <v>8.5212449327140102E-2</v>
      </c>
      <c r="R36" s="91">
        <v>1</v>
      </c>
      <c r="S36" s="91">
        <v>0.96468998141577966</v>
      </c>
      <c r="T36" s="91">
        <v>0.84971427421720769</v>
      </c>
      <c r="U36" s="91">
        <v>1</v>
      </c>
      <c r="V36" s="91">
        <v>0.97342056773377128</v>
      </c>
      <c r="W36" s="91">
        <v>0.91576520613147316</v>
      </c>
      <c r="X36" s="91">
        <v>1</v>
      </c>
      <c r="Y36" s="91">
        <v>0.99667678768290957</v>
      </c>
      <c r="Z36" s="91">
        <v>0.80585516178736516</v>
      </c>
      <c r="AA36" s="91">
        <v>0.78974358974358971</v>
      </c>
      <c r="AB36" s="91">
        <v>0.7658479845802425</v>
      </c>
      <c r="AC36" s="91">
        <v>0.86175968733200026</v>
      </c>
      <c r="AD36" s="91">
        <v>0.94960122285950321</v>
      </c>
      <c r="AE36" s="91">
        <v>0.93395124593619638</v>
      </c>
      <c r="AF36" s="91">
        <f t="shared" si="2"/>
        <v>0.91478755067285988</v>
      </c>
    </row>
    <row r="37" spans="1:32" x14ac:dyDescent="0.25">
      <c r="A37" t="s">
        <v>96</v>
      </c>
      <c r="B37" s="91">
        <f t="shared" si="3"/>
        <v>5.1546391752577359E-2</v>
      </c>
      <c r="C37" s="91">
        <f t="shared" si="3"/>
        <v>7.6450892857142905E-2</v>
      </c>
      <c r="D37" s="91">
        <f t="shared" si="3"/>
        <v>3.059765513297108E-2</v>
      </c>
      <c r="E37" s="91">
        <f t="shared" si="3"/>
        <v>4.8468629200118962E-2</v>
      </c>
      <c r="F37" s="91">
        <f t="shared" si="3"/>
        <v>0.15083135391923985</v>
      </c>
      <c r="G37" s="91">
        <f t="shared" si="3"/>
        <v>9.3695271453590245E-2</v>
      </c>
      <c r="H37" s="91">
        <f t="shared" si="3"/>
        <v>0.1071428571428571</v>
      </c>
      <c r="I37" s="91">
        <f t="shared" si="3"/>
        <v>0.30533117932148623</v>
      </c>
      <c r="J37" s="91">
        <f t="shared" si="6"/>
        <v>0.28127159640635802</v>
      </c>
      <c r="K37" s="91">
        <f t="shared" si="6"/>
        <v>6.6068515497552993E-2</v>
      </c>
      <c r="L37" s="91">
        <f t="shared" si="4"/>
        <v>0.19996333111389764</v>
      </c>
      <c r="M37" s="91">
        <f t="shared" si="4"/>
        <v>0.28713767233959275</v>
      </c>
      <c r="N37" s="91">
        <f t="shared" si="4"/>
        <v>0.11939978406079155</v>
      </c>
      <c r="O37" s="91">
        <f t="shared" si="4"/>
        <v>0.18013442873170815</v>
      </c>
      <c r="P37" s="91">
        <f t="shared" si="5"/>
        <v>0.14271711135213463</v>
      </c>
      <c r="R37" s="91">
        <v>0.94845360824742264</v>
      </c>
      <c r="S37" s="91">
        <v>0.9235491071428571</v>
      </c>
      <c r="T37" s="91">
        <v>0.96940234486702892</v>
      </c>
      <c r="U37" s="91">
        <v>0.95153137079988104</v>
      </c>
      <c r="V37" s="91">
        <v>0.84916864608076015</v>
      </c>
      <c r="W37" s="91">
        <v>0.90630472854640975</v>
      </c>
      <c r="X37" s="91">
        <v>0.8928571428571429</v>
      </c>
      <c r="Y37" s="91">
        <v>0.69466882067851377</v>
      </c>
      <c r="Z37" s="91">
        <v>0.71872840359364198</v>
      </c>
      <c r="AA37" s="91">
        <v>0.93393148450244701</v>
      </c>
      <c r="AB37" s="91">
        <v>0.80003666888610236</v>
      </c>
      <c r="AC37" s="91">
        <v>0.71286232766040725</v>
      </c>
      <c r="AD37" s="91">
        <v>0.88060021593920845</v>
      </c>
      <c r="AE37" s="91">
        <v>0.81986557126829185</v>
      </c>
      <c r="AF37" s="91">
        <f t="shared" si="2"/>
        <v>0.85728288864786528</v>
      </c>
    </row>
    <row r="38" spans="1:32" x14ac:dyDescent="0.25">
      <c r="A38" t="s">
        <v>97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 t="e">
        <f t="shared" si="5"/>
        <v>#DIV/0!</v>
      </c>
      <c r="R38" s="91"/>
      <c r="S38" s="91"/>
      <c r="T38" s="91"/>
      <c r="U38" s="91"/>
      <c r="V38" s="91"/>
      <c r="W38" s="91"/>
      <c r="X38" s="91"/>
      <c r="Y38" s="91"/>
      <c r="Z38" s="91"/>
      <c r="AA38" s="91">
        <v>0.84325518359000085</v>
      </c>
      <c r="AB38" s="116">
        <v>0.9997889056304966</v>
      </c>
      <c r="AC38" s="116">
        <v>1</v>
      </c>
      <c r="AD38" s="116">
        <v>1</v>
      </c>
      <c r="AE38" s="116">
        <v>0.99994661361466852</v>
      </c>
      <c r="AF38" s="91"/>
    </row>
    <row r="39" spans="1:32" x14ac:dyDescent="0.25">
      <c r="A39" t="s">
        <v>98</v>
      </c>
      <c r="B39" s="91">
        <f t="shared" si="3"/>
        <v>2.5085558076565984E-2</v>
      </c>
      <c r="C39" s="91">
        <f t="shared" si="3"/>
        <v>0</v>
      </c>
      <c r="D39" s="91">
        <f t="shared" si="3"/>
        <v>0.187769615363789</v>
      </c>
      <c r="E39" s="91">
        <f t="shared" si="3"/>
        <v>0.18390804597701149</v>
      </c>
      <c r="F39" s="91">
        <f t="shared" si="3"/>
        <v>0.13531723750701852</v>
      </c>
      <c r="G39" s="91">
        <f t="shared" si="3"/>
        <v>8.1947549026442079E-3</v>
      </c>
      <c r="H39" s="91">
        <f t="shared" si="3"/>
        <v>4.3147017902157692E-2</v>
      </c>
      <c r="I39" s="91">
        <f t="shared" si="3"/>
        <v>1.9541189342176635E-2</v>
      </c>
      <c r="J39" s="91">
        <f t="shared" si="6"/>
        <v>0.12935515397409736</v>
      </c>
      <c r="K39" s="91">
        <f t="shared" si="6"/>
        <v>4.7897843318853495E-2</v>
      </c>
      <c r="L39" s="91">
        <f t="shared" si="4"/>
        <v>2.9982411674407405E-3</v>
      </c>
      <c r="M39" s="91">
        <f t="shared" si="4"/>
        <v>8.2464494347095019E-2</v>
      </c>
      <c r="N39" s="91">
        <f t="shared" si="4"/>
        <v>9.833306830342492E-2</v>
      </c>
      <c r="O39" s="91">
        <f t="shared" si="4"/>
        <v>1.2879732180796077E-3</v>
      </c>
      <c r="P39" s="91">
        <f t="shared" si="5"/>
        <v>6.8950013814311054E-2</v>
      </c>
      <c r="R39" s="91">
        <v>0.97491444192343402</v>
      </c>
      <c r="S39" s="91">
        <v>1</v>
      </c>
      <c r="T39" s="91">
        <v>0.812230384636211</v>
      </c>
      <c r="U39" s="91">
        <v>0.81609195402298851</v>
      </c>
      <c r="V39" s="91">
        <v>0.86468276249298148</v>
      </c>
      <c r="W39" s="91">
        <v>0.99180524509735579</v>
      </c>
      <c r="X39" s="91">
        <v>0.95685298209784231</v>
      </c>
      <c r="Y39" s="91">
        <v>0.98045881065782337</v>
      </c>
      <c r="Z39" s="91">
        <v>0.87064484602590264</v>
      </c>
      <c r="AA39" s="91">
        <v>0.95210215668114651</v>
      </c>
      <c r="AB39" s="91">
        <v>0.99700175883255926</v>
      </c>
      <c r="AC39" s="91">
        <v>0.91753550565290498</v>
      </c>
      <c r="AD39" s="91">
        <v>0.90166693169657508</v>
      </c>
      <c r="AE39" s="91">
        <v>0.99871202678192039</v>
      </c>
      <c r="AF39" s="91">
        <f t="shared" ref="AF39:AF49" si="7">AVERAGE(R39:AE39)</f>
        <v>0.93104998618568879</v>
      </c>
    </row>
    <row r="40" spans="1:32" x14ac:dyDescent="0.25">
      <c r="A40" t="s">
        <v>99</v>
      </c>
      <c r="B40" s="91">
        <f t="shared" si="3"/>
        <v>0.33204134366925064</v>
      </c>
      <c r="C40" s="91">
        <f t="shared" si="3"/>
        <v>0.48322147651006708</v>
      </c>
      <c r="D40" s="91">
        <f t="shared" si="3"/>
        <v>0.44474034620505987</v>
      </c>
      <c r="E40" s="91">
        <f t="shared" si="3"/>
        <v>0.28622327790973867</v>
      </c>
      <c r="F40" s="91">
        <f t="shared" si="3"/>
        <v>0.41457124435847836</v>
      </c>
      <c r="G40" s="91">
        <f t="shared" si="3"/>
        <v>0.26143790849673199</v>
      </c>
      <c r="H40" s="91">
        <f t="shared" si="3"/>
        <v>0.2360248447204969</v>
      </c>
      <c r="I40" s="91">
        <f t="shared" si="3"/>
        <v>0.31738623103850638</v>
      </c>
      <c r="J40" s="91">
        <f t="shared" si="6"/>
        <v>0.28537170263788969</v>
      </c>
      <c r="K40" s="91">
        <f t="shared" si="6"/>
        <v>0.14457000605362791</v>
      </c>
      <c r="L40" s="91">
        <f t="shared" si="4"/>
        <v>0.24392224226895787</v>
      </c>
      <c r="M40" s="91">
        <f t="shared" si="4"/>
        <v>0.2428345814341567</v>
      </c>
      <c r="N40" s="91">
        <f t="shared" si="4"/>
        <v>0.34934743399689172</v>
      </c>
      <c r="O40" s="91">
        <f t="shared" si="4"/>
        <v>0.1674784964840994</v>
      </c>
      <c r="P40" s="91">
        <f t="shared" si="5"/>
        <v>0.30065508112742517</v>
      </c>
      <c r="R40" s="91">
        <v>0.66795865633074936</v>
      </c>
      <c r="S40" s="91">
        <v>0.51677852348993292</v>
      </c>
      <c r="T40" s="91">
        <v>0.55525965379494013</v>
      </c>
      <c r="U40" s="91">
        <v>0.71377672209026133</v>
      </c>
      <c r="V40" s="91">
        <v>0.58542875564152164</v>
      </c>
      <c r="W40" s="91">
        <v>0.73856209150326801</v>
      </c>
      <c r="X40" s="91">
        <v>0.7639751552795031</v>
      </c>
      <c r="Y40" s="91">
        <v>0.68261376896149362</v>
      </c>
      <c r="Z40" s="91">
        <v>0.71462829736211031</v>
      </c>
      <c r="AA40" s="91">
        <v>0.85542999394637209</v>
      </c>
      <c r="AB40" s="91">
        <v>0.75607775773104213</v>
      </c>
      <c r="AC40" s="91">
        <v>0.7571654185658433</v>
      </c>
      <c r="AD40" s="91">
        <v>0.65065256600310828</v>
      </c>
      <c r="AE40" s="91">
        <v>0.8325215035159006</v>
      </c>
      <c r="AF40" s="91">
        <f t="shared" si="7"/>
        <v>0.69934491887257477</v>
      </c>
    </row>
    <row r="41" spans="1:32" x14ac:dyDescent="0.25">
      <c r="A41" t="s">
        <v>100</v>
      </c>
      <c r="B41" s="91">
        <f t="shared" si="3"/>
        <v>3.3753644481505973E-2</v>
      </c>
      <c r="C41" s="91">
        <f t="shared" si="3"/>
        <v>0.11790393013100442</v>
      </c>
      <c r="D41" s="91">
        <f t="shared" si="3"/>
        <v>8.6993970714900892E-2</v>
      </c>
      <c r="E41" s="91">
        <f t="shared" si="3"/>
        <v>4.4668296926168916E-2</v>
      </c>
      <c r="F41" s="91">
        <f t="shared" si="3"/>
        <v>6.0046909373207003E-3</v>
      </c>
      <c r="G41" s="91">
        <f t="shared" si="3"/>
        <v>1.1978533966658156E-2</v>
      </c>
      <c r="H41" s="91">
        <f t="shared" si="3"/>
        <v>2.0841043058554609E-2</v>
      </c>
      <c r="I41" s="91">
        <f t="shared" si="3"/>
        <v>8.7837837837837829E-2</v>
      </c>
      <c r="J41" s="91">
        <f t="shared" si="6"/>
        <v>8.4595959595959558E-2</v>
      </c>
      <c r="K41" s="91">
        <f t="shared" si="6"/>
        <v>2.4146886657088196E-2</v>
      </c>
      <c r="L41" s="91">
        <f t="shared" si="4"/>
        <v>6.3392211499451845E-2</v>
      </c>
      <c r="M41" s="91">
        <f t="shared" si="4"/>
        <v>6.9250229757342852E-2</v>
      </c>
      <c r="N41" s="91">
        <f t="shared" si="4"/>
        <v>4.497187368830724E-2</v>
      </c>
      <c r="O41" s="91">
        <f t="shared" si="4"/>
        <v>3.0517165746703045E-2</v>
      </c>
      <c r="P41" s="91">
        <f t="shared" si="5"/>
        <v>5.1918305357057444E-2</v>
      </c>
      <c r="R41" s="91">
        <v>0.96624635551849403</v>
      </c>
      <c r="S41" s="91">
        <v>0.88209606986899558</v>
      </c>
      <c r="T41" s="91">
        <v>0.91300602928509911</v>
      </c>
      <c r="U41" s="91">
        <v>0.95533170307383108</v>
      </c>
      <c r="V41" s="91">
        <v>0.9939953090626793</v>
      </c>
      <c r="W41" s="91">
        <v>0.98802146603334184</v>
      </c>
      <c r="X41" s="91">
        <v>0.97915895694144539</v>
      </c>
      <c r="Y41" s="91">
        <v>0.91216216216216217</v>
      </c>
      <c r="Z41" s="91">
        <v>0.91540404040404044</v>
      </c>
      <c r="AA41" s="91">
        <v>0.9758531133429118</v>
      </c>
      <c r="AB41" s="91">
        <v>0.93660778850054816</v>
      </c>
      <c r="AC41" s="91">
        <v>0.93074977024265715</v>
      </c>
      <c r="AD41" s="91">
        <v>0.95502812631169276</v>
      </c>
      <c r="AE41" s="91">
        <v>0.96948283425329695</v>
      </c>
      <c r="AF41" s="91">
        <f t="shared" si="7"/>
        <v>0.94808169464294245</v>
      </c>
    </row>
    <row r="42" spans="1:32" x14ac:dyDescent="0.25">
      <c r="A42" t="s">
        <v>101</v>
      </c>
      <c r="B42" s="91">
        <f t="shared" si="3"/>
        <v>0.24416666666666664</v>
      </c>
      <c r="C42" s="91">
        <f t="shared" si="3"/>
        <v>0.21439060205580029</v>
      </c>
      <c r="D42" s="91">
        <f t="shared" si="3"/>
        <v>0.22950819672131151</v>
      </c>
      <c r="E42" s="91">
        <f t="shared" si="3"/>
        <v>0.18195266272189348</v>
      </c>
      <c r="F42" s="91">
        <f t="shared" si="3"/>
        <v>0.18392204628501829</v>
      </c>
      <c r="G42" s="91">
        <f t="shared" si="3"/>
        <v>0.25543478260869568</v>
      </c>
      <c r="H42" s="91">
        <f t="shared" si="3"/>
        <v>0.33633633633633631</v>
      </c>
      <c r="I42" s="91">
        <f t="shared" si="3"/>
        <v>0.17125382262996947</v>
      </c>
      <c r="J42" s="91">
        <f t="shared" si="6"/>
        <v>0.22120285423037722</v>
      </c>
      <c r="K42" s="91">
        <f t="shared" si="6"/>
        <v>0.23918575063613234</v>
      </c>
      <c r="L42" s="91">
        <f t="shared" si="4"/>
        <v>0.17429742766359058</v>
      </c>
      <c r="M42" s="91">
        <f t="shared" si="4"/>
        <v>0.17050759884487598</v>
      </c>
      <c r="N42" s="91">
        <f t="shared" si="4"/>
        <v>0.26776051507682164</v>
      </c>
      <c r="O42" s="91">
        <f t="shared" si="4"/>
        <v>0.26797225323335261</v>
      </c>
      <c r="P42" s="91">
        <f t="shared" si="5"/>
        <v>0.22556367969363159</v>
      </c>
      <c r="R42" s="91">
        <v>0.75583333333333336</v>
      </c>
      <c r="S42" s="91">
        <v>0.78560939794419971</v>
      </c>
      <c r="T42" s="91">
        <v>0.77049180327868849</v>
      </c>
      <c r="U42" s="91">
        <v>0.81804733727810652</v>
      </c>
      <c r="V42" s="91">
        <v>0.81607795371498171</v>
      </c>
      <c r="W42" s="91">
        <v>0.74456521739130432</v>
      </c>
      <c r="X42" s="91">
        <v>0.66366366366366369</v>
      </c>
      <c r="Y42" s="91">
        <v>0.82874617737003053</v>
      </c>
      <c r="Z42" s="91">
        <v>0.77879714576962278</v>
      </c>
      <c r="AA42" s="91">
        <v>0.76081424936386766</v>
      </c>
      <c r="AB42" s="91">
        <v>0.82570257233640942</v>
      </c>
      <c r="AC42" s="91">
        <v>0.82949240115512402</v>
      </c>
      <c r="AD42" s="91">
        <v>0.73223948492317836</v>
      </c>
      <c r="AE42" s="91">
        <v>0.73202774676664739</v>
      </c>
      <c r="AF42" s="91">
        <f t="shared" si="7"/>
        <v>0.77443632030636844</v>
      </c>
    </row>
    <row r="43" spans="1:32" x14ac:dyDescent="0.25">
      <c r="A43" t="s">
        <v>102</v>
      </c>
      <c r="B43" s="91">
        <f t="shared" si="3"/>
        <v>4.4995796647700481E-2</v>
      </c>
      <c r="C43" s="91">
        <f t="shared" si="3"/>
        <v>0.23306233062330628</v>
      </c>
      <c r="D43" s="91">
        <f t="shared" si="3"/>
        <v>3.1951016721446068E-2</v>
      </c>
      <c r="E43" s="91">
        <f t="shared" si="3"/>
        <v>0.18089725036179449</v>
      </c>
      <c r="F43" s="91">
        <f t="shared" si="3"/>
        <v>0.16889221677358623</v>
      </c>
      <c r="G43" s="91">
        <f t="shared" si="3"/>
        <v>0.7009345794392523</v>
      </c>
      <c r="H43" s="91">
        <f t="shared" si="3"/>
        <v>0.19899999999999995</v>
      </c>
      <c r="I43" s="91">
        <f t="shared" si="3"/>
        <v>6.1185569904423254E-2</v>
      </c>
      <c r="J43" s="91">
        <f t="shared" si="6"/>
        <v>5.0724637681159424E-2</v>
      </c>
      <c r="K43" s="91">
        <f t="shared" si="6"/>
        <v>0.77713458755426923</v>
      </c>
      <c r="L43" s="91">
        <f t="shared" si="4"/>
        <v>0.23992215017896945</v>
      </c>
      <c r="M43" s="91">
        <f t="shared" si="4"/>
        <v>5.3952026363223049E-2</v>
      </c>
      <c r="N43" s="91">
        <f t="shared" si="4"/>
        <v>9.8595271240752957E-2</v>
      </c>
      <c r="O43" s="91">
        <f t="shared" si="4"/>
        <v>0.18746748852908901</v>
      </c>
      <c r="P43" s="91">
        <f t="shared" si="5"/>
        <v>0.21633678014421226</v>
      </c>
      <c r="R43" s="91">
        <v>0.95500420335229952</v>
      </c>
      <c r="S43" s="91">
        <v>0.76693766937669372</v>
      </c>
      <c r="T43" s="91">
        <v>0.96804898327855393</v>
      </c>
      <c r="U43" s="91">
        <v>0.81910274963820551</v>
      </c>
      <c r="V43" s="91">
        <v>0.83110778322641377</v>
      </c>
      <c r="W43" s="91">
        <v>0.29906542056074764</v>
      </c>
      <c r="X43" s="91">
        <v>0.80100000000000005</v>
      </c>
      <c r="Y43" s="91">
        <v>0.93881443009557675</v>
      </c>
      <c r="Z43" s="91">
        <v>0.94927536231884058</v>
      </c>
      <c r="AA43" s="91">
        <v>0.22286541244573083</v>
      </c>
      <c r="AB43" s="91">
        <v>0.76007784982103055</v>
      </c>
      <c r="AC43" s="91">
        <v>0.94604797363677695</v>
      </c>
      <c r="AD43" s="91">
        <v>0.90140472875924704</v>
      </c>
      <c r="AE43" s="91">
        <v>0.81253251147091099</v>
      </c>
      <c r="AF43" s="91">
        <f t="shared" si="7"/>
        <v>0.78366321985578768</v>
      </c>
    </row>
    <row r="44" spans="1:32" x14ac:dyDescent="0.25">
      <c r="A44" t="s">
        <v>104</v>
      </c>
      <c r="B44" s="91">
        <f t="shared" si="3"/>
        <v>0</v>
      </c>
      <c r="C44" s="91">
        <f t="shared" si="3"/>
        <v>0</v>
      </c>
      <c r="D44" s="91">
        <f t="shared" si="3"/>
        <v>0</v>
      </c>
      <c r="E44" s="91">
        <f t="shared" si="3"/>
        <v>0</v>
      </c>
      <c r="F44" s="91">
        <f t="shared" si="3"/>
        <v>0</v>
      </c>
      <c r="G44" s="91">
        <f t="shared" si="3"/>
        <v>0</v>
      </c>
      <c r="H44" s="91">
        <f t="shared" si="3"/>
        <v>0</v>
      </c>
      <c r="I44" s="91">
        <f t="shared" si="3"/>
        <v>0</v>
      </c>
      <c r="J44" s="91">
        <f t="shared" si="6"/>
        <v>0</v>
      </c>
      <c r="K44" s="91">
        <f t="shared" si="6"/>
        <v>0</v>
      </c>
      <c r="L44" s="91">
        <f t="shared" si="4"/>
        <v>0</v>
      </c>
      <c r="M44" s="91">
        <f t="shared" si="4"/>
        <v>0</v>
      </c>
      <c r="N44" s="91">
        <f t="shared" si="4"/>
        <v>0</v>
      </c>
      <c r="O44" s="91">
        <f t="shared" si="4"/>
        <v>0</v>
      </c>
      <c r="P44" s="91">
        <f t="shared" si="5"/>
        <v>0</v>
      </c>
      <c r="R44" s="91">
        <v>1</v>
      </c>
      <c r="S44" s="91">
        <v>1</v>
      </c>
      <c r="T44" s="91">
        <v>1</v>
      </c>
      <c r="U44" s="91">
        <v>1</v>
      </c>
      <c r="V44" s="91">
        <v>1</v>
      </c>
      <c r="W44" s="91">
        <v>1</v>
      </c>
      <c r="X44" s="91">
        <v>1</v>
      </c>
      <c r="Y44" s="91">
        <v>1</v>
      </c>
      <c r="Z44" s="91">
        <v>1</v>
      </c>
      <c r="AA44" s="91">
        <v>1</v>
      </c>
      <c r="AB44" s="91">
        <v>1</v>
      </c>
      <c r="AC44" s="91">
        <v>1</v>
      </c>
      <c r="AD44" s="91">
        <v>1</v>
      </c>
      <c r="AE44" s="91">
        <v>1</v>
      </c>
      <c r="AF44" s="91">
        <f t="shared" si="7"/>
        <v>1</v>
      </c>
    </row>
    <row r="45" spans="1:32" x14ac:dyDescent="0.25">
      <c r="A45" t="s">
        <v>103</v>
      </c>
      <c r="B45" s="91">
        <f t="shared" si="3"/>
        <v>0</v>
      </c>
      <c r="C45" s="91">
        <f t="shared" si="3"/>
        <v>3.0919253300742966E-2</v>
      </c>
      <c r="D45" s="91">
        <f t="shared" si="3"/>
        <v>0</v>
      </c>
      <c r="E45" s="91">
        <f t="shared" si="3"/>
        <v>0</v>
      </c>
      <c r="F45" s="91">
        <f t="shared" si="3"/>
        <v>0</v>
      </c>
      <c r="G45" s="91">
        <f t="shared" si="3"/>
        <v>0</v>
      </c>
      <c r="H45" s="91">
        <f t="shared" si="3"/>
        <v>2.8673448683701808E-2</v>
      </c>
      <c r="I45" s="91">
        <f t="shared" si="3"/>
        <v>9.3761112405681413E-3</v>
      </c>
      <c r="J45" s="91">
        <f t="shared" si="6"/>
        <v>4.8403029305235434E-2</v>
      </c>
      <c r="K45" s="91">
        <f t="shared" si="6"/>
        <v>6.4810659322712683E-3</v>
      </c>
      <c r="L45" s="91">
        <f t="shared" si="4"/>
        <v>1.8035001741942724E-2</v>
      </c>
      <c r="M45" s="91">
        <f t="shared" si="4"/>
        <v>2.3186871584635727E-2</v>
      </c>
      <c r="N45" s="91">
        <f t="shared" si="4"/>
        <v>0.22940861335231166</v>
      </c>
      <c r="O45" s="91">
        <f t="shared" si="4"/>
        <v>1.8830680932160004E-2</v>
      </c>
      <c r="P45" s="91">
        <f t="shared" si="5"/>
        <v>2.9522434005254981E-2</v>
      </c>
      <c r="R45" s="91">
        <v>1</v>
      </c>
      <c r="S45" s="91">
        <v>0.96908074669925703</v>
      </c>
      <c r="T45" s="91">
        <v>1</v>
      </c>
      <c r="U45" s="91">
        <v>1</v>
      </c>
      <c r="V45" s="91">
        <v>1</v>
      </c>
      <c r="W45" s="91">
        <v>1</v>
      </c>
      <c r="X45" s="91">
        <v>0.97132655131629819</v>
      </c>
      <c r="Y45" s="91">
        <v>0.99062388875943186</v>
      </c>
      <c r="Z45" s="91">
        <v>0.95159697069476457</v>
      </c>
      <c r="AA45" s="91">
        <v>0.99351893406772873</v>
      </c>
      <c r="AB45" s="91">
        <v>0.98196499825805728</v>
      </c>
      <c r="AC45" s="91">
        <v>0.97681312841536427</v>
      </c>
      <c r="AD45" s="91">
        <v>0.77059138664768834</v>
      </c>
      <c r="AE45" s="91">
        <v>0.98116931906784</v>
      </c>
      <c r="AF45" s="91">
        <f t="shared" si="7"/>
        <v>0.97047756599474488</v>
      </c>
    </row>
    <row r="46" spans="1:32" x14ac:dyDescent="0.25">
      <c r="A46" t="s">
        <v>105</v>
      </c>
      <c r="B46" s="91">
        <f t="shared" si="3"/>
        <v>0.14940828402366868</v>
      </c>
      <c r="C46" s="91">
        <f t="shared" si="3"/>
        <v>4.3110701997122636E-2</v>
      </c>
      <c r="D46" s="91">
        <f t="shared" si="3"/>
        <v>8.5711582815675147E-2</v>
      </c>
      <c r="E46" s="91">
        <f t="shared" si="3"/>
        <v>7.6224020035075113E-2</v>
      </c>
      <c r="F46" s="91">
        <f t="shared" si="3"/>
        <v>9.5870184049551832E-2</v>
      </c>
      <c r="G46" s="91">
        <f t="shared" si="3"/>
        <v>0.23755656108597289</v>
      </c>
      <c r="H46" s="91">
        <f t="shared" si="3"/>
        <v>0.10024559696185331</v>
      </c>
      <c r="I46" s="91">
        <f t="shared" si="3"/>
        <v>4.3766090474439134E-2</v>
      </c>
      <c r="J46" s="91">
        <f t="shared" si="6"/>
        <v>0</v>
      </c>
      <c r="K46" s="91">
        <f t="shared" si="6"/>
        <v>0.1372349090349485</v>
      </c>
      <c r="L46" s="91">
        <f t="shared" si="4"/>
        <v>0.17448174652036708</v>
      </c>
      <c r="M46" s="91">
        <f t="shared" si="4"/>
        <v>6.9939767469380909E-2</v>
      </c>
      <c r="N46" s="91">
        <f t="shared" si="4"/>
        <v>2.7342390368182312E-2</v>
      </c>
      <c r="O46" s="91">
        <f t="shared" si="4"/>
        <v>6.0763138813778594E-2</v>
      </c>
      <c r="P46" s="91">
        <f t="shared" si="5"/>
        <v>9.2975355260715431E-2</v>
      </c>
      <c r="R46" s="91">
        <v>0.85059171597633132</v>
      </c>
      <c r="S46" s="91">
        <v>0.95688929800287736</v>
      </c>
      <c r="T46" s="91">
        <v>0.91428841718432485</v>
      </c>
      <c r="U46" s="91">
        <v>0.92377597996492489</v>
      </c>
      <c r="V46" s="91">
        <v>0.90412981595044817</v>
      </c>
      <c r="W46" s="91">
        <v>0.76244343891402711</v>
      </c>
      <c r="X46" s="91">
        <v>0.89975440303814669</v>
      </c>
      <c r="Y46" s="91">
        <v>0.95623390952556087</v>
      </c>
      <c r="Z46" s="91">
        <v>1</v>
      </c>
      <c r="AA46" s="91">
        <v>0.8627650909650515</v>
      </c>
      <c r="AB46" s="91">
        <v>0.82551825347963292</v>
      </c>
      <c r="AC46" s="91">
        <v>0.93006023253061909</v>
      </c>
      <c r="AD46" s="91">
        <v>0.97265760963181769</v>
      </c>
      <c r="AE46" s="91">
        <v>0.93923686118622141</v>
      </c>
      <c r="AF46" s="91">
        <f t="shared" si="7"/>
        <v>0.90702464473928457</v>
      </c>
    </row>
    <row r="47" spans="1:32" x14ac:dyDescent="0.25">
      <c r="A47" t="s">
        <v>107</v>
      </c>
      <c r="B47" s="91">
        <f t="shared" si="3"/>
        <v>0</v>
      </c>
      <c r="C47" s="91">
        <f t="shared" si="3"/>
        <v>0.1992481203007519</v>
      </c>
      <c r="D47" s="91">
        <f t="shared" si="3"/>
        <v>0.17450304248117088</v>
      </c>
      <c r="E47" s="91">
        <f t="shared" si="3"/>
        <v>0.16279069767441856</v>
      </c>
      <c r="F47" s="91">
        <f t="shared" si="3"/>
        <v>0.33125972006220838</v>
      </c>
      <c r="G47" s="91">
        <f t="shared" si="3"/>
        <v>0.27506426735218514</v>
      </c>
      <c r="H47" s="91">
        <f t="shared" si="3"/>
        <v>0.46007604562737647</v>
      </c>
      <c r="I47" s="91">
        <f t="shared" si="3"/>
        <v>0.38198198198198197</v>
      </c>
      <c r="J47" s="91">
        <f t="shared" si="6"/>
        <v>0.25287356321839083</v>
      </c>
      <c r="K47" s="91">
        <f t="shared" si="6"/>
        <v>0</v>
      </c>
      <c r="L47" s="91">
        <f t="shared" si="4"/>
        <v>4.8712905420786434E-2</v>
      </c>
      <c r="M47" s="91">
        <f t="shared" si="4"/>
        <v>1.5245645338260561E-2</v>
      </c>
      <c r="N47" s="91">
        <f t="shared" si="4"/>
        <v>6.224177824195376E-2</v>
      </c>
      <c r="O47" s="91">
        <f t="shared" si="4"/>
        <v>0.11025168030174681</v>
      </c>
      <c r="P47" s="91">
        <f t="shared" si="5"/>
        <v>0.17673210342865939</v>
      </c>
      <c r="R47" s="91">
        <v>1</v>
      </c>
      <c r="S47" s="91">
        <v>0.8007518796992481</v>
      </c>
      <c r="T47" s="91">
        <v>0.82549695751882912</v>
      </c>
      <c r="U47" s="91">
        <v>0.83720930232558144</v>
      </c>
      <c r="V47" s="91">
        <v>0.66874027993779162</v>
      </c>
      <c r="W47" s="91">
        <v>0.72493573264781486</v>
      </c>
      <c r="X47" s="91">
        <v>0.53992395437262353</v>
      </c>
      <c r="Y47" s="91">
        <v>0.61801801801801803</v>
      </c>
      <c r="Z47" s="91">
        <v>0.74712643678160917</v>
      </c>
      <c r="AA47" s="91">
        <v>1</v>
      </c>
      <c r="AB47" s="91">
        <v>0.95128709457921357</v>
      </c>
      <c r="AC47" s="91">
        <v>0.98475435466173944</v>
      </c>
      <c r="AD47" s="91">
        <v>0.93775822175804624</v>
      </c>
      <c r="AE47" s="91">
        <v>0.88974831969825319</v>
      </c>
      <c r="AF47" s="91">
        <f t="shared" si="7"/>
        <v>0.82326789657134036</v>
      </c>
    </row>
    <row r="48" spans="1:32" x14ac:dyDescent="0.25">
      <c r="A48" t="s">
        <v>106</v>
      </c>
      <c r="B48" s="91">
        <f t="shared" si="3"/>
        <v>0.28051001821493626</v>
      </c>
      <c r="C48" s="91">
        <f t="shared" si="3"/>
        <v>0.32006773920406439</v>
      </c>
      <c r="D48" s="91">
        <f t="shared" si="3"/>
        <v>0.28719467061435977</v>
      </c>
      <c r="E48" s="91">
        <f t="shared" si="3"/>
        <v>0.2106938255887969</v>
      </c>
      <c r="F48" s="91">
        <f t="shared" si="3"/>
        <v>0.31653302787323401</v>
      </c>
      <c r="G48" s="91">
        <f t="shared" si="3"/>
        <v>0.37421383647798745</v>
      </c>
      <c r="H48" s="91">
        <f t="shared" si="3"/>
        <v>0.37560503388189737</v>
      </c>
      <c r="I48" s="91">
        <f t="shared" si="3"/>
        <v>0.31544865864939875</v>
      </c>
      <c r="J48" s="91">
        <f t="shared" si="6"/>
        <v>0.37022042285200185</v>
      </c>
      <c r="K48" s="91">
        <f t="shared" si="6"/>
        <v>0.38606847697756785</v>
      </c>
      <c r="L48" s="91">
        <f t="shared" si="4"/>
        <v>0.43285050240778045</v>
      </c>
      <c r="M48" s="91">
        <f t="shared" si="4"/>
        <v>0.53674515894123331</v>
      </c>
      <c r="N48" s="91">
        <f t="shared" si="4"/>
        <v>0.63064442053006231</v>
      </c>
      <c r="O48" s="91">
        <f t="shared" si="4"/>
        <v>0.78073909566961419</v>
      </c>
      <c r="P48" s="91">
        <f t="shared" si="5"/>
        <v>0.4012524919916382</v>
      </c>
      <c r="R48" s="91">
        <v>0.71948998178506374</v>
      </c>
      <c r="S48" s="91">
        <v>0.67993226079593561</v>
      </c>
      <c r="T48" s="91">
        <v>0.71280532938564023</v>
      </c>
      <c r="U48" s="91">
        <v>0.7893061744112031</v>
      </c>
      <c r="V48" s="91">
        <v>0.68346697212676599</v>
      </c>
      <c r="W48" s="91">
        <v>0.62578616352201255</v>
      </c>
      <c r="X48" s="91">
        <v>0.62439496611810263</v>
      </c>
      <c r="Y48" s="91">
        <v>0.68455134135060125</v>
      </c>
      <c r="Z48" s="91">
        <v>0.62977957714799815</v>
      </c>
      <c r="AA48" s="91">
        <v>0.61393152302243215</v>
      </c>
      <c r="AB48" s="91">
        <v>0.56714949759221955</v>
      </c>
      <c r="AC48" s="91">
        <v>0.46325484105876674</v>
      </c>
      <c r="AD48" s="91">
        <v>0.36935557946993769</v>
      </c>
      <c r="AE48" s="91">
        <v>0.21926090433038581</v>
      </c>
      <c r="AF48" s="91">
        <f t="shared" si="7"/>
        <v>0.59874750800836174</v>
      </c>
    </row>
    <row r="49" spans="1:32" x14ac:dyDescent="0.25">
      <c r="A49" t="s">
        <v>108</v>
      </c>
      <c r="B49" s="91">
        <f t="shared" si="3"/>
        <v>6.8267237398656921E-2</v>
      </c>
      <c r="C49" s="91">
        <f t="shared" si="3"/>
        <v>0.35384615384615381</v>
      </c>
      <c r="D49" s="91">
        <f t="shared" si="3"/>
        <v>0.22166655520856804</v>
      </c>
      <c r="E49" s="91">
        <f t="shared" si="3"/>
        <v>0.16697225662611181</v>
      </c>
      <c r="F49" s="91">
        <f t="shared" si="3"/>
        <v>0.21616541353383456</v>
      </c>
      <c r="G49" s="91">
        <f t="shared" si="3"/>
        <v>4.8641818183468688E-2</v>
      </c>
      <c r="H49" s="91">
        <f t="shared" si="3"/>
        <v>0.11281779661016944</v>
      </c>
      <c r="I49" s="91">
        <f t="shared" si="3"/>
        <v>0.10003566213824799</v>
      </c>
      <c r="J49" s="91">
        <f t="shared" si="6"/>
        <v>6.623407454300867E-2</v>
      </c>
      <c r="K49" s="91">
        <f t="shared" si="6"/>
        <v>0.20964360587002095</v>
      </c>
      <c r="L49" s="91">
        <f t="shared" si="4"/>
        <v>7.9229898829411671E-2</v>
      </c>
      <c r="M49" s="91">
        <f t="shared" si="4"/>
        <v>0.10209085622060243</v>
      </c>
      <c r="N49" s="91">
        <f t="shared" si="4"/>
        <v>6.7079575587778884E-2</v>
      </c>
      <c r="O49" s="91">
        <f t="shared" si="4"/>
        <v>1.0075723343890397E-2</v>
      </c>
      <c r="P49" s="91">
        <f t="shared" si="5"/>
        <v>0.13019761628142318</v>
      </c>
      <c r="R49" s="91">
        <v>0.93173276260134308</v>
      </c>
      <c r="S49" s="91">
        <v>0.64615384615384619</v>
      </c>
      <c r="T49" s="91">
        <v>0.77833344479143196</v>
      </c>
      <c r="U49" s="91">
        <v>0.83302774337388819</v>
      </c>
      <c r="V49" s="91">
        <v>0.78383458646616544</v>
      </c>
      <c r="W49" s="91">
        <v>0.95135818181653131</v>
      </c>
      <c r="X49" s="91">
        <v>0.88718220338983056</v>
      </c>
      <c r="Y49" s="91">
        <v>0.89996433786175201</v>
      </c>
      <c r="Z49" s="91">
        <v>0.93376592545699133</v>
      </c>
      <c r="AA49" s="91">
        <v>0.79035639412997905</v>
      </c>
      <c r="AB49" s="91">
        <v>0.92077010117058833</v>
      </c>
      <c r="AC49" s="91">
        <v>0.89790914377939757</v>
      </c>
      <c r="AD49" s="91">
        <v>0.93292042441222112</v>
      </c>
      <c r="AE49" s="91">
        <v>0.9899242766561096</v>
      </c>
      <c r="AF49" s="91">
        <f t="shared" si="7"/>
        <v>0.86980238371857677</v>
      </c>
    </row>
    <row r="50" spans="1:32" x14ac:dyDescent="0.25">
      <c r="P50" s="9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47ACB-1C78-4B4C-BD14-AFD45AA07AEB}">
  <dimension ref="A1:R49"/>
  <sheetViews>
    <sheetView zoomScale="93" zoomScaleNormal="93" workbookViewId="0">
      <selection activeCell="T30" sqref="T30"/>
    </sheetView>
  </sheetViews>
  <sheetFormatPr defaultColWidth="11.42578125" defaultRowHeight="15" x14ac:dyDescent="0.25"/>
  <sheetData>
    <row r="1" spans="1:18" x14ac:dyDescent="0.25">
      <c r="A1" s="89" t="s">
        <v>109</v>
      </c>
      <c r="B1" s="89">
        <v>2005</v>
      </c>
      <c r="C1" s="89">
        <v>2006</v>
      </c>
      <c r="D1" s="89">
        <v>2007</v>
      </c>
      <c r="E1" s="89">
        <v>2008</v>
      </c>
      <c r="F1" s="89">
        <v>2009</v>
      </c>
      <c r="G1" s="89">
        <v>2010</v>
      </c>
      <c r="H1" s="89">
        <v>2011</v>
      </c>
      <c r="I1" s="89">
        <v>2012</v>
      </c>
      <c r="J1" s="89">
        <v>2013</v>
      </c>
      <c r="K1" s="89">
        <v>2014</v>
      </c>
      <c r="L1" s="89">
        <v>2015</v>
      </c>
      <c r="M1" s="89">
        <v>2016</v>
      </c>
      <c r="N1" s="89">
        <v>2017</v>
      </c>
      <c r="O1" s="89">
        <v>2018</v>
      </c>
      <c r="P1" s="89" t="s">
        <v>114</v>
      </c>
    </row>
    <row r="2" spans="1:18" x14ac:dyDescent="0.25">
      <c r="A2" t="s">
        <v>62</v>
      </c>
      <c r="B2" s="88"/>
      <c r="C2" s="88"/>
      <c r="D2" s="88">
        <v>166.80131254292473</v>
      </c>
      <c r="E2" s="88"/>
      <c r="F2" s="88">
        <v>119.1979998725556</v>
      </c>
      <c r="G2" s="88"/>
      <c r="H2" s="88">
        <v>123.76495222295151</v>
      </c>
      <c r="I2" s="88">
        <v>198.33839824587335</v>
      </c>
      <c r="J2" s="88"/>
      <c r="K2" s="88"/>
      <c r="L2" s="117">
        <v>324.55862630408154</v>
      </c>
      <c r="M2" s="117">
        <v>429.9708309816088</v>
      </c>
      <c r="N2" s="117">
        <v>500.83158768582769</v>
      </c>
      <c r="O2" s="117">
        <v>1171.4847929060143</v>
      </c>
      <c r="P2" s="88">
        <f>AVERAGE(B2:O2)</f>
        <v>379.36856259522966</v>
      </c>
      <c r="R2" t="s">
        <v>124</v>
      </c>
    </row>
    <row r="3" spans="1:18" x14ac:dyDescent="0.25">
      <c r="A3" t="s">
        <v>63</v>
      </c>
      <c r="B3" s="88">
        <v>102.10156403056227</v>
      </c>
      <c r="C3" s="88">
        <v>122.78780735814195</v>
      </c>
      <c r="D3" s="88">
        <v>103.14007518539377</v>
      </c>
      <c r="E3" s="88">
        <v>161.00413071093635</v>
      </c>
      <c r="F3" s="88">
        <v>146.95043412108268</v>
      </c>
      <c r="G3" s="88">
        <v>106.43117639954244</v>
      </c>
      <c r="H3" s="88">
        <v>108.85111123069333</v>
      </c>
      <c r="I3" s="88">
        <v>109.15613700554222</v>
      </c>
      <c r="J3" s="88">
        <v>136.64920830227928</v>
      </c>
      <c r="K3" s="88">
        <v>148.38853645703904</v>
      </c>
      <c r="L3" s="117">
        <v>243.73277865609046</v>
      </c>
      <c r="M3" s="117">
        <v>205.00389268330864</v>
      </c>
      <c r="N3" s="117">
        <v>182.78066336613577</v>
      </c>
      <c r="O3" s="117">
        <v>204.15777445500748</v>
      </c>
      <c r="P3" s="88">
        <f t="shared" ref="P3:P48" si="0">AVERAGE(B3:O3)</f>
        <v>148.65252071155396</v>
      </c>
      <c r="R3" t="s">
        <v>125</v>
      </c>
    </row>
    <row r="4" spans="1:18" x14ac:dyDescent="0.25">
      <c r="A4" t="s">
        <v>64</v>
      </c>
      <c r="B4" s="88">
        <v>141.93341061481675</v>
      </c>
      <c r="C4" s="88">
        <v>119.98219394686933</v>
      </c>
      <c r="D4" s="88">
        <v>120.17798900024229</v>
      </c>
      <c r="E4" s="88">
        <v>126.0048310905072</v>
      </c>
      <c r="F4" s="88">
        <v>102.99833530944029</v>
      </c>
      <c r="G4" s="88">
        <v>124.88015624273751</v>
      </c>
      <c r="H4" s="88">
        <v>86.137009748175942</v>
      </c>
      <c r="I4" s="88">
        <v>90.622203416460607</v>
      </c>
      <c r="J4" s="88">
        <v>86.400263114619293</v>
      </c>
      <c r="K4" s="88">
        <v>108.72638349239651</v>
      </c>
      <c r="L4" s="117">
        <v>149.9112592508981</v>
      </c>
      <c r="M4" s="117">
        <v>171.43895362702818</v>
      </c>
      <c r="N4" s="117">
        <v>112.78649486334513</v>
      </c>
      <c r="O4" s="117">
        <v>183.31490292033502</v>
      </c>
      <c r="P4" s="88">
        <f t="shared" si="0"/>
        <v>123.23674190270516</v>
      </c>
      <c r="R4" t="s">
        <v>126</v>
      </c>
    </row>
    <row r="5" spans="1:18" x14ac:dyDescent="0.25">
      <c r="A5" t="s">
        <v>65</v>
      </c>
      <c r="B5" s="88">
        <v>302.06957332866347</v>
      </c>
      <c r="C5" s="88">
        <v>314.47245339000727</v>
      </c>
      <c r="D5" s="88">
        <v>256.27832326534468</v>
      </c>
      <c r="E5" s="88">
        <v>211.12060087428335</v>
      </c>
      <c r="F5" s="88">
        <v>187.29964659872965</v>
      </c>
      <c r="G5" s="88">
        <v>221.91328462421109</v>
      </c>
      <c r="H5" s="88">
        <v>198.06190227451631</v>
      </c>
      <c r="I5" s="88">
        <v>165.45910363530535</v>
      </c>
      <c r="J5" s="88">
        <v>192.79053184201291</v>
      </c>
      <c r="K5" s="88">
        <v>236.13138071893007</v>
      </c>
      <c r="L5" s="117">
        <v>200.38223323523823</v>
      </c>
      <c r="M5" s="117">
        <v>272.63420559839693</v>
      </c>
      <c r="N5" s="117">
        <v>216.92406627690443</v>
      </c>
      <c r="O5" s="117">
        <v>290.24860081252803</v>
      </c>
      <c r="P5" s="88">
        <f t="shared" si="0"/>
        <v>233.27042189107652</v>
      </c>
    </row>
    <row r="6" spans="1:18" x14ac:dyDescent="0.25">
      <c r="A6" t="s">
        <v>66</v>
      </c>
      <c r="B6" s="88">
        <v>126.65150188873152</v>
      </c>
      <c r="C6" s="88">
        <v>122.0172911950865</v>
      </c>
      <c r="D6" s="88">
        <v>160.09917625980862</v>
      </c>
      <c r="E6" s="88">
        <v>130.08489363973555</v>
      </c>
      <c r="F6" s="88">
        <v>144.35577027505047</v>
      </c>
      <c r="G6" s="88">
        <v>137.04562827257959</v>
      </c>
      <c r="H6" s="88">
        <v>132.05181807334657</v>
      </c>
      <c r="I6" s="88">
        <v>135.51106233815068</v>
      </c>
      <c r="J6" s="88">
        <v>160.75699347315671</v>
      </c>
      <c r="K6" s="88">
        <v>187.10674506373334</v>
      </c>
      <c r="L6" s="117">
        <v>168.07809864388364</v>
      </c>
      <c r="M6" s="117">
        <v>160.34171733932774</v>
      </c>
      <c r="N6" s="117">
        <v>126.50969146504707</v>
      </c>
      <c r="O6" s="117">
        <v>149.32660835227256</v>
      </c>
      <c r="P6" s="88">
        <f t="shared" si="0"/>
        <v>145.70978544856504</v>
      </c>
    </row>
    <row r="7" spans="1:18" x14ac:dyDescent="0.25">
      <c r="A7" t="s">
        <v>67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117">
        <v>1603.6649619125189</v>
      </c>
      <c r="M7" s="117">
        <v>2590.9387274015398</v>
      </c>
      <c r="N7" s="117">
        <v>4573.8182721602579</v>
      </c>
      <c r="O7" s="117">
        <v>3099.6603365115434</v>
      </c>
      <c r="P7" s="88">
        <f t="shared" si="0"/>
        <v>2967.0205744964651</v>
      </c>
    </row>
    <row r="8" spans="1:18" x14ac:dyDescent="0.25">
      <c r="A8" t="s">
        <v>68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117">
        <v>176.24533609946545</v>
      </c>
      <c r="M8" s="117">
        <v>397.82810997855864</v>
      </c>
      <c r="N8" s="117">
        <v>231.41280333320924</v>
      </c>
      <c r="O8" s="117">
        <v>275.78686557128634</v>
      </c>
      <c r="P8" s="88">
        <f t="shared" si="0"/>
        <v>270.31827874562993</v>
      </c>
    </row>
    <row r="9" spans="1:18" x14ac:dyDescent="0.25">
      <c r="A9" t="s">
        <v>69</v>
      </c>
      <c r="B9" s="88">
        <v>189.710856073233</v>
      </c>
      <c r="C9" s="88">
        <v>399.35395807446275</v>
      </c>
      <c r="D9" s="88">
        <v>246.01868086980093</v>
      </c>
      <c r="E9" s="88"/>
      <c r="F9" s="88">
        <v>272.05053916154554</v>
      </c>
      <c r="G9" s="88">
        <v>218.67537204202148</v>
      </c>
      <c r="H9" s="88">
        <v>271.17005304661075</v>
      </c>
      <c r="I9" s="88">
        <v>395</v>
      </c>
      <c r="J9" s="88">
        <v>207.58657137961961</v>
      </c>
      <c r="K9" s="88">
        <v>437.72920861138198</v>
      </c>
      <c r="L9" s="117">
        <v>671.39628795596298</v>
      </c>
      <c r="M9" s="117">
        <v>241.53454733033209</v>
      </c>
      <c r="N9" s="117">
        <v>496.27710819879906</v>
      </c>
      <c r="O9" s="117">
        <v>288.44048499975935</v>
      </c>
      <c r="P9" s="88">
        <f t="shared" si="0"/>
        <v>333.45720521104073</v>
      </c>
    </row>
    <row r="10" spans="1:18" x14ac:dyDescent="0.25">
      <c r="A10" t="s">
        <v>70</v>
      </c>
      <c r="B10" s="88">
        <v>182.52374018191296</v>
      </c>
      <c r="C10" s="88">
        <v>195.90892699361643</v>
      </c>
      <c r="D10" s="88">
        <v>215.53743099311438</v>
      </c>
      <c r="E10" s="88">
        <v>192.00018843869708</v>
      </c>
      <c r="F10" s="88">
        <v>110.47075203206384</v>
      </c>
      <c r="G10" s="88">
        <v>158.74023254543215</v>
      </c>
      <c r="H10" s="88">
        <v>155.16913788141963</v>
      </c>
      <c r="I10" s="88">
        <v>170.72411142067935</v>
      </c>
      <c r="J10" s="88">
        <v>210.23274478267811</v>
      </c>
      <c r="K10" s="88">
        <v>219.64873920630487</v>
      </c>
      <c r="L10" s="117">
        <v>271.16062730406941</v>
      </c>
      <c r="M10" s="117">
        <v>150.15463669738944</v>
      </c>
      <c r="N10" s="117">
        <v>227.12268051419304</v>
      </c>
      <c r="O10" s="117">
        <v>276.62556842880394</v>
      </c>
      <c r="P10" s="88">
        <f t="shared" si="0"/>
        <v>195.42996553002675</v>
      </c>
    </row>
    <row r="11" spans="1:18" x14ac:dyDescent="0.25">
      <c r="A11" t="s">
        <v>71</v>
      </c>
      <c r="B11" s="88">
        <v>94.851665178022614</v>
      </c>
      <c r="C11" s="88">
        <v>92.663115242189221</v>
      </c>
      <c r="D11" s="88">
        <v>94.013717093862141</v>
      </c>
      <c r="E11" s="88">
        <v>117.58444273651634</v>
      </c>
      <c r="F11" s="88">
        <v>109.909830934157</v>
      </c>
      <c r="G11" s="88">
        <v>95.560122628356069</v>
      </c>
      <c r="H11" s="88">
        <v>102.95275953888138</v>
      </c>
      <c r="I11" s="88">
        <v>107.28938304516507</v>
      </c>
      <c r="J11" s="88">
        <v>108.56937710313548</v>
      </c>
      <c r="K11" s="88">
        <v>125.73322435369897</v>
      </c>
      <c r="L11" s="117">
        <v>143.25493947381565</v>
      </c>
      <c r="M11" s="117">
        <v>139.2705954973205</v>
      </c>
      <c r="N11" s="117">
        <v>170.13069843206026</v>
      </c>
      <c r="O11" s="117">
        <v>162.4292675167404</v>
      </c>
      <c r="P11" s="88">
        <f t="shared" si="0"/>
        <v>118.87236705528008</v>
      </c>
    </row>
    <row r="12" spans="1:18" x14ac:dyDescent="0.25">
      <c r="A12" t="s">
        <v>72</v>
      </c>
      <c r="B12" s="88"/>
      <c r="C12" s="88">
        <v>272.74305020579754</v>
      </c>
      <c r="D12" s="88"/>
      <c r="E12" s="88">
        <v>133.62949192196359</v>
      </c>
      <c r="F12" s="88">
        <v>144.62210638940797</v>
      </c>
      <c r="G12" s="88">
        <v>136.96390838881894</v>
      </c>
      <c r="H12" s="88">
        <v>111.84566310267036</v>
      </c>
      <c r="I12" s="88">
        <v>147.2729261868094</v>
      </c>
      <c r="J12" s="88">
        <v>171.81844630938733</v>
      </c>
      <c r="K12" s="88">
        <v>138.49186137089058</v>
      </c>
      <c r="L12" s="117">
        <v>296.60642173645863</v>
      </c>
      <c r="M12" s="117">
        <v>197.1836619015769</v>
      </c>
      <c r="N12" s="117">
        <v>383.56183451410681</v>
      </c>
      <c r="O12" s="117">
        <v>218.29783944347955</v>
      </c>
      <c r="P12" s="88">
        <f t="shared" si="0"/>
        <v>196.08643428928062</v>
      </c>
    </row>
    <row r="13" spans="1:18" x14ac:dyDescent="0.25">
      <c r="A13" t="s">
        <v>73</v>
      </c>
      <c r="B13" s="88">
        <v>150.89303562994976</v>
      </c>
      <c r="C13" s="88">
        <v>163.3354054016468</v>
      </c>
      <c r="D13" s="88">
        <v>190.64660027364951</v>
      </c>
      <c r="E13" s="88">
        <v>182.75247737188727</v>
      </c>
      <c r="F13" s="88">
        <v>154.31313364352394</v>
      </c>
      <c r="G13" s="88">
        <v>150.87687363555918</v>
      </c>
      <c r="H13" s="88">
        <v>147.8182159190043</v>
      </c>
      <c r="I13" s="88">
        <v>163.60955895790832</v>
      </c>
      <c r="J13" s="88">
        <v>165.36235239720199</v>
      </c>
      <c r="K13" s="88">
        <v>170.4767149201534</v>
      </c>
      <c r="L13" s="117">
        <v>191.33325471229179</v>
      </c>
      <c r="M13" s="117">
        <v>269.03986479855377</v>
      </c>
      <c r="N13" s="117">
        <v>223.1084012712021</v>
      </c>
      <c r="O13" s="117">
        <v>221.16694581378141</v>
      </c>
      <c r="P13" s="88">
        <f t="shared" si="0"/>
        <v>181.76663105330812</v>
      </c>
    </row>
    <row r="14" spans="1:18" x14ac:dyDescent="0.25">
      <c r="A14" t="s">
        <v>74</v>
      </c>
      <c r="B14" s="88">
        <v>92.721672352560688</v>
      </c>
      <c r="C14" s="88">
        <v>115.52804666963219</v>
      </c>
      <c r="D14" s="88">
        <v>118.79623586028451</v>
      </c>
      <c r="E14" s="88">
        <v>112.16719124840742</v>
      </c>
      <c r="F14" s="88">
        <v>99.022946269857627</v>
      </c>
      <c r="G14" s="88">
        <v>93.251171828931362</v>
      </c>
      <c r="H14" s="88">
        <v>95.533941388139041</v>
      </c>
      <c r="I14" s="88">
        <v>101.3117089223188</v>
      </c>
      <c r="J14" s="88">
        <v>131.12581154342641</v>
      </c>
      <c r="K14" s="88">
        <v>143.54371958473158</v>
      </c>
      <c r="L14" s="117">
        <v>176.2931306022322</v>
      </c>
      <c r="M14" s="117">
        <v>291.06034916767766</v>
      </c>
      <c r="N14" s="117">
        <v>300.23930703231491</v>
      </c>
      <c r="O14" s="117">
        <v>328.66460667052041</v>
      </c>
      <c r="P14" s="88">
        <f t="shared" si="0"/>
        <v>157.08998851007391</v>
      </c>
    </row>
    <row r="15" spans="1:18" x14ac:dyDescent="0.25">
      <c r="A15" t="s">
        <v>75</v>
      </c>
      <c r="B15" s="88">
        <v>155.13206987652626</v>
      </c>
      <c r="C15" s="88">
        <v>123.06594378184909</v>
      </c>
      <c r="D15" s="88">
        <v>120.80855776131658</v>
      </c>
      <c r="E15" s="88">
        <v>150.1057567349385</v>
      </c>
      <c r="F15" s="88">
        <v>140.33807601446603</v>
      </c>
      <c r="G15" s="88">
        <v>128.83257434336466</v>
      </c>
      <c r="H15" s="88">
        <v>113.60334515508633</v>
      </c>
      <c r="I15" s="88">
        <v>143.36807289047277</v>
      </c>
      <c r="J15" s="88">
        <v>157.96042734301051</v>
      </c>
      <c r="K15" s="88">
        <v>170.71406650839248</v>
      </c>
      <c r="L15" s="117">
        <v>208.86521307839001</v>
      </c>
      <c r="M15" s="117">
        <v>184.13029920322677</v>
      </c>
      <c r="N15" s="117">
        <v>221.80935728527641</v>
      </c>
      <c r="O15" s="117">
        <v>121.68251099728904</v>
      </c>
      <c r="P15" s="88">
        <f t="shared" si="0"/>
        <v>152.88687649811467</v>
      </c>
    </row>
    <row r="16" spans="1:18" x14ac:dyDescent="0.25">
      <c r="A16" t="s">
        <v>76</v>
      </c>
      <c r="B16" s="88">
        <v>97.19610711194845</v>
      </c>
      <c r="C16" s="88">
        <v>158.36955334117988</v>
      </c>
      <c r="D16" s="88">
        <v>144.81895142875456</v>
      </c>
      <c r="E16" s="88"/>
      <c r="F16" s="88">
        <v>180.10136429217494</v>
      </c>
      <c r="G16" s="88">
        <v>247.69661322720879</v>
      </c>
      <c r="H16" s="88">
        <v>130.89563548601285</v>
      </c>
      <c r="I16" s="88">
        <v>228.10124695363334</v>
      </c>
      <c r="J16" s="88">
        <v>169.55419980806639</v>
      </c>
      <c r="K16" s="88">
        <v>219.65146877418388</v>
      </c>
      <c r="L16" s="117">
        <v>250.2479592770963</v>
      </c>
      <c r="M16" s="117">
        <v>253.15884649257487</v>
      </c>
      <c r="N16" s="117">
        <v>159.15242175597325</v>
      </c>
      <c r="O16" s="117">
        <v>263.34152693402626</v>
      </c>
      <c r="P16" s="88">
        <f t="shared" si="0"/>
        <v>192.48353037560258</v>
      </c>
    </row>
    <row r="17" spans="1:16" x14ac:dyDescent="0.25">
      <c r="A17" t="s">
        <v>77</v>
      </c>
      <c r="B17" s="88">
        <v>182.22379152688282</v>
      </c>
      <c r="C17" s="88">
        <v>189.4626247599563</v>
      </c>
      <c r="D17" s="88">
        <v>208.07447559890963</v>
      </c>
      <c r="E17" s="88">
        <v>187.68489096176117</v>
      </c>
      <c r="F17" s="88">
        <v>175.33103468444608</v>
      </c>
      <c r="G17" s="88">
        <v>140.87395048354983</v>
      </c>
      <c r="H17" s="88">
        <v>160.22015637120899</v>
      </c>
      <c r="I17" s="88">
        <v>189.78109405892127</v>
      </c>
      <c r="J17" s="88">
        <v>231.57857476876939</v>
      </c>
      <c r="K17" s="88">
        <v>180.63706195470075</v>
      </c>
      <c r="L17" s="117">
        <v>306.16074061331256</v>
      </c>
      <c r="M17" s="117">
        <v>374.60707934490642</v>
      </c>
      <c r="N17" s="117">
        <v>306.39187983545042</v>
      </c>
      <c r="O17" s="117">
        <v>338.11153399589807</v>
      </c>
      <c r="P17" s="88">
        <f t="shared" si="0"/>
        <v>226.50992063990529</v>
      </c>
    </row>
    <row r="18" spans="1:16" x14ac:dyDescent="0.25">
      <c r="A18" t="s">
        <v>78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117">
        <v>429.18918918918916</v>
      </c>
      <c r="M18" s="117">
        <v>429.1390728476822</v>
      </c>
      <c r="N18" s="117">
        <v>237.78501628664495</v>
      </c>
      <c r="O18" s="117">
        <v>253.29032258064515</v>
      </c>
      <c r="P18" s="88">
        <f t="shared" si="0"/>
        <v>337.35090022604038</v>
      </c>
    </row>
    <row r="19" spans="1:16" x14ac:dyDescent="0.25">
      <c r="A19" t="s">
        <v>79</v>
      </c>
      <c r="B19" s="88">
        <v>202.4340218054264</v>
      </c>
      <c r="C19" s="88"/>
      <c r="D19" s="88"/>
      <c r="E19" s="88"/>
      <c r="F19" s="88"/>
      <c r="G19" s="88"/>
      <c r="H19" s="88"/>
      <c r="I19" s="88"/>
      <c r="J19" s="88">
        <v>240</v>
      </c>
      <c r="K19" s="88"/>
      <c r="L19" s="117">
        <v>608.34728686317499</v>
      </c>
      <c r="M19" s="117">
        <v>359.06124974200776</v>
      </c>
      <c r="N19" s="117">
        <v>337.23917453553025</v>
      </c>
      <c r="O19" s="117">
        <v>886.75398914021116</v>
      </c>
      <c r="P19" s="88">
        <f t="shared" si="0"/>
        <v>438.97262034772513</v>
      </c>
    </row>
    <row r="20" spans="1:16" x14ac:dyDescent="0.25">
      <c r="A20" t="s">
        <v>80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117">
        <v>392.49182177100954</v>
      </c>
      <c r="M20" s="117">
        <v>0</v>
      </c>
      <c r="N20" s="117">
        <v>0</v>
      </c>
      <c r="O20" s="117">
        <v>0</v>
      </c>
      <c r="P20" s="88">
        <f t="shared" si="0"/>
        <v>98.122955442752385</v>
      </c>
    </row>
    <row r="21" spans="1:16" x14ac:dyDescent="0.25">
      <c r="A21" t="s">
        <v>81</v>
      </c>
      <c r="B21" s="88">
        <v>126.91999923215042</v>
      </c>
      <c r="C21" s="88">
        <v>108.43330431565374</v>
      </c>
      <c r="D21" s="88">
        <v>101.27549470177306</v>
      </c>
      <c r="E21" s="88">
        <v>106.27322595136201</v>
      </c>
      <c r="F21" s="88">
        <v>113.4125524816766</v>
      </c>
      <c r="G21" s="88">
        <v>106.31278398711326</v>
      </c>
      <c r="H21" s="88">
        <v>109.04069180008216</v>
      </c>
      <c r="I21" s="88">
        <v>136.47925946950801</v>
      </c>
      <c r="J21" s="88">
        <v>123.37391111564885</v>
      </c>
      <c r="K21" s="88">
        <v>140.99813687886416</v>
      </c>
      <c r="L21" s="117">
        <v>161.69823454455187</v>
      </c>
      <c r="M21" s="117">
        <v>184.62314814538885</v>
      </c>
      <c r="N21" s="117">
        <v>204.90225806514221</v>
      </c>
      <c r="O21" s="117">
        <v>180.23843213592212</v>
      </c>
      <c r="P21" s="88">
        <f t="shared" si="0"/>
        <v>135.99867377320265</v>
      </c>
    </row>
    <row r="22" spans="1:16" x14ac:dyDescent="0.25">
      <c r="A22" t="s">
        <v>82</v>
      </c>
      <c r="B22" s="88">
        <v>55.704281966782084</v>
      </c>
      <c r="C22" s="88">
        <v>54.027797174351498</v>
      </c>
      <c r="D22" s="88">
        <v>56.858639673167787</v>
      </c>
      <c r="E22" s="88">
        <v>69.155861718238469</v>
      </c>
      <c r="F22" s="88">
        <v>94.683334774457222</v>
      </c>
      <c r="G22" s="88">
        <v>88.741831604104306</v>
      </c>
      <c r="H22" s="88">
        <v>62.97322674397558</v>
      </c>
      <c r="I22" s="88">
        <v>106.57045631240436</v>
      </c>
      <c r="J22" s="88">
        <v>124.32916795868167</v>
      </c>
      <c r="K22" s="88">
        <v>78.314723549536993</v>
      </c>
      <c r="L22" s="117">
        <v>103.65986024192014</v>
      </c>
      <c r="M22" s="117">
        <v>85.592900689877027</v>
      </c>
      <c r="N22" s="117">
        <v>109.42310726551597</v>
      </c>
      <c r="O22" s="117">
        <v>54.4101760989466</v>
      </c>
      <c r="P22" s="88">
        <f t="shared" si="0"/>
        <v>81.746097555139968</v>
      </c>
    </row>
    <row r="23" spans="1:16" x14ac:dyDescent="0.25">
      <c r="A23" t="s">
        <v>83</v>
      </c>
      <c r="B23" s="88">
        <v>124.29864844322488</v>
      </c>
      <c r="C23" s="88">
        <v>143.41924604886273</v>
      </c>
      <c r="D23" s="88">
        <v>132.08837590781724</v>
      </c>
      <c r="E23" s="88">
        <v>153.98327648998603</v>
      </c>
      <c r="F23" s="88">
        <v>121.42849078224737</v>
      </c>
      <c r="G23" s="88">
        <v>124.43046379792357</v>
      </c>
      <c r="H23" s="88">
        <v>143.69568635487906</v>
      </c>
      <c r="I23" s="88">
        <v>149.5084558511281</v>
      </c>
      <c r="J23" s="88">
        <v>141.78079474867076</v>
      </c>
      <c r="K23" s="88">
        <v>168.40793560745806</v>
      </c>
      <c r="L23" s="117">
        <v>188.34626145348776</v>
      </c>
      <c r="M23" s="117">
        <v>196.39130396459126</v>
      </c>
      <c r="N23" s="117">
        <v>177.68879595881216</v>
      </c>
      <c r="O23" s="117">
        <v>162.69924696813899</v>
      </c>
      <c r="P23" s="88">
        <f t="shared" si="0"/>
        <v>152.01192731265914</v>
      </c>
    </row>
    <row r="24" spans="1:16" x14ac:dyDescent="0.25">
      <c r="A24" t="s">
        <v>84</v>
      </c>
      <c r="B24" s="88">
        <v>136.05409271554149</v>
      </c>
      <c r="C24" s="88"/>
      <c r="D24" s="88"/>
      <c r="E24" s="88">
        <v>158.5325488454707</v>
      </c>
      <c r="F24" s="88"/>
      <c r="G24" s="88"/>
      <c r="H24" s="88"/>
      <c r="I24" s="88"/>
      <c r="J24" s="88"/>
      <c r="K24" s="88"/>
      <c r="L24" s="117">
        <v>347.78445222472499</v>
      </c>
      <c r="M24" s="117">
        <v>393.81313657180891</v>
      </c>
      <c r="N24" s="117">
        <v>1523.7722137598375</v>
      </c>
      <c r="O24" s="117">
        <v>480.32879005773896</v>
      </c>
      <c r="P24" s="88">
        <f t="shared" si="0"/>
        <v>506.71420569585371</v>
      </c>
    </row>
    <row r="25" spans="1:16" x14ac:dyDescent="0.25">
      <c r="A25" t="s">
        <v>85</v>
      </c>
      <c r="B25" s="88"/>
      <c r="C25" s="88"/>
      <c r="D25" s="88">
        <v>259.43168420626944</v>
      </c>
      <c r="E25" s="88"/>
      <c r="F25" s="88"/>
      <c r="G25" s="88">
        <v>200</v>
      </c>
      <c r="H25" s="88"/>
      <c r="I25" s="88"/>
      <c r="J25" s="88"/>
      <c r="K25" s="88"/>
      <c r="L25" s="117">
        <v>535.13654520257603</v>
      </c>
      <c r="M25" s="117">
        <v>463.83328173075068</v>
      </c>
      <c r="N25" s="117">
        <v>391.99897513790722</v>
      </c>
      <c r="O25" s="117">
        <v>476.67224504970289</v>
      </c>
      <c r="P25" s="88">
        <f t="shared" si="0"/>
        <v>387.84545522120101</v>
      </c>
    </row>
    <row r="26" spans="1:16" x14ac:dyDescent="0.25">
      <c r="A26" t="s">
        <v>86</v>
      </c>
      <c r="B26" s="88">
        <v>146.35628832676304</v>
      </c>
      <c r="C26" s="88"/>
      <c r="D26" s="88">
        <v>188.39596596597357</v>
      </c>
      <c r="E26" s="88"/>
      <c r="F26" s="88">
        <v>87.981407702523242</v>
      </c>
      <c r="G26" s="88">
        <v>132.65691360864156</v>
      </c>
      <c r="H26" s="88">
        <v>61.338289962825279</v>
      </c>
      <c r="I26" s="88">
        <v>74.954444295168727</v>
      </c>
      <c r="J26" s="88">
        <v>67.924635809784206</v>
      </c>
      <c r="K26" s="88">
        <v>168.18245251569425</v>
      </c>
      <c r="L26" s="117">
        <v>130.09357662804413</v>
      </c>
      <c r="M26" s="117">
        <v>186.86442856435491</v>
      </c>
      <c r="N26" s="117">
        <v>813.39201877934261</v>
      </c>
      <c r="O26" s="117">
        <v>151.6852596350443</v>
      </c>
      <c r="P26" s="88">
        <f t="shared" si="0"/>
        <v>184.15214014951334</v>
      </c>
    </row>
    <row r="27" spans="1:16" x14ac:dyDescent="0.25">
      <c r="A27" t="s">
        <v>87</v>
      </c>
      <c r="B27" s="88">
        <v>114.25260459599752</v>
      </c>
      <c r="C27" s="88">
        <v>240.46229183919738</v>
      </c>
      <c r="D27" s="88">
        <v>238.87624750020649</v>
      </c>
      <c r="E27" s="88">
        <v>184.80129438436552</v>
      </c>
      <c r="F27" s="88">
        <v>159.02466487195133</v>
      </c>
      <c r="G27" s="88">
        <v>146.32796531247499</v>
      </c>
      <c r="H27" s="88">
        <v>189.53058257927174</v>
      </c>
      <c r="I27" s="88">
        <v>168.21948640939655</v>
      </c>
      <c r="J27" s="88">
        <v>205.98609783713255</v>
      </c>
      <c r="K27" s="88">
        <v>377.91687600200112</v>
      </c>
      <c r="L27" s="117">
        <v>196.42776939461029</v>
      </c>
      <c r="M27" s="117">
        <v>203.25739292113758</v>
      </c>
      <c r="N27" s="117">
        <v>200.13224243012422</v>
      </c>
      <c r="O27" s="117">
        <v>222.71449429972887</v>
      </c>
      <c r="P27" s="88">
        <f t="shared" si="0"/>
        <v>203.42357216982828</v>
      </c>
    </row>
    <row r="28" spans="1:16" x14ac:dyDescent="0.25">
      <c r="A28" t="s">
        <v>88</v>
      </c>
      <c r="B28" s="88">
        <v>101.86339608368486</v>
      </c>
      <c r="C28" s="88">
        <v>100.46884793787626</v>
      </c>
      <c r="D28" s="88">
        <v>125.06830092247141</v>
      </c>
      <c r="E28" s="88">
        <v>127.42506554537373</v>
      </c>
      <c r="F28" s="88">
        <v>129.78695434698992</v>
      </c>
      <c r="G28" s="88">
        <v>116.8893361178604</v>
      </c>
      <c r="H28" s="88">
        <v>113.77276045295289</v>
      </c>
      <c r="I28" s="88">
        <v>133.12255518526499</v>
      </c>
      <c r="J28" s="88">
        <v>125.90902660024378</v>
      </c>
      <c r="K28" s="88">
        <v>159.15215144775797</v>
      </c>
      <c r="L28" s="117">
        <v>161.12261831148331</v>
      </c>
      <c r="M28" s="117">
        <v>147.05077245852789</v>
      </c>
      <c r="N28" s="117">
        <v>177.48939217647268</v>
      </c>
      <c r="O28" s="117">
        <v>164.81151189687407</v>
      </c>
      <c r="P28" s="88">
        <f t="shared" si="0"/>
        <v>134.56662067741669</v>
      </c>
    </row>
    <row r="29" spans="1:16" x14ac:dyDescent="0.25">
      <c r="A29" t="s">
        <v>89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117">
        <v>0</v>
      </c>
      <c r="M29" s="117">
        <v>0</v>
      </c>
      <c r="N29" s="117">
        <v>0</v>
      </c>
      <c r="O29" s="117">
        <v>0</v>
      </c>
      <c r="P29" s="88">
        <f t="shared" si="0"/>
        <v>0</v>
      </c>
    </row>
    <row r="30" spans="1:16" x14ac:dyDescent="0.25">
      <c r="A30" t="s">
        <v>90</v>
      </c>
      <c r="B30" s="88">
        <v>173.97166689722519</v>
      </c>
      <c r="C30" s="88">
        <v>198.00067404484784</v>
      </c>
      <c r="D30" s="88">
        <v>187.92673424669491</v>
      </c>
      <c r="E30" s="88">
        <v>144.68187086195388</v>
      </c>
      <c r="F30" s="88">
        <v>154.05111262936651</v>
      </c>
      <c r="G30" s="88">
        <v>123.30012711353311</v>
      </c>
      <c r="H30" s="88">
        <v>134.76649455919187</v>
      </c>
      <c r="I30" s="88">
        <v>157.40562510215148</v>
      </c>
      <c r="J30" s="88">
        <v>185.58672815367916</v>
      </c>
      <c r="K30" s="88"/>
      <c r="L30" s="117">
        <v>226.49687433999591</v>
      </c>
      <c r="M30" s="117">
        <v>306.50810412665965</v>
      </c>
      <c r="N30" s="117">
        <v>328.61222317806499</v>
      </c>
      <c r="O30" s="117">
        <v>406.78790312008391</v>
      </c>
      <c r="P30" s="88">
        <f t="shared" si="0"/>
        <v>209.85354910564988</v>
      </c>
    </row>
    <row r="31" spans="1:16" x14ac:dyDescent="0.25">
      <c r="A31" t="s">
        <v>91</v>
      </c>
      <c r="B31" s="88">
        <v>123.42884062996865</v>
      </c>
      <c r="C31" s="88">
        <v>273.64301235433754</v>
      </c>
      <c r="D31" s="88"/>
      <c r="E31" s="88">
        <v>164.3404920374013</v>
      </c>
      <c r="F31" s="88">
        <v>168.01043254573173</v>
      </c>
      <c r="G31" s="88"/>
      <c r="H31" s="88"/>
      <c r="I31" s="88">
        <v>239.93561041820121</v>
      </c>
      <c r="J31" s="88"/>
      <c r="K31" s="88">
        <v>180.00032435412984</v>
      </c>
      <c r="L31" s="117">
        <v>225.02250225022502</v>
      </c>
      <c r="M31" s="117">
        <v>220.80705404585905</v>
      </c>
      <c r="N31" s="117">
        <v>316.43818941050313</v>
      </c>
      <c r="O31" s="117">
        <v>235.15067736782947</v>
      </c>
      <c r="P31" s="88">
        <f t="shared" si="0"/>
        <v>214.67771354141868</v>
      </c>
    </row>
    <row r="32" spans="1:16" x14ac:dyDescent="0.25">
      <c r="A32" t="s">
        <v>92</v>
      </c>
      <c r="B32" s="88">
        <v>217.32717198859396</v>
      </c>
      <c r="C32" s="88">
        <v>147.73531985604495</v>
      </c>
      <c r="D32" s="88">
        <v>443.82157595505163</v>
      </c>
      <c r="E32" s="88"/>
      <c r="F32" s="88">
        <v>148.94977306476966</v>
      </c>
      <c r="G32" s="88">
        <v>162.74020595705412</v>
      </c>
      <c r="H32" s="88">
        <v>115.53959551960052</v>
      </c>
      <c r="I32" s="88">
        <v>176.77152673460509</v>
      </c>
      <c r="J32" s="88">
        <v>196.87031502350851</v>
      </c>
      <c r="K32" s="88">
        <v>229.88960361613351</v>
      </c>
      <c r="L32" s="117">
        <v>482.3726810462955</v>
      </c>
      <c r="M32" s="117">
        <v>221.460359614694</v>
      </c>
      <c r="N32" s="117">
        <v>858.46721862717266</v>
      </c>
      <c r="O32" s="117">
        <v>576.29545332225018</v>
      </c>
      <c r="P32" s="88">
        <f t="shared" si="0"/>
        <v>306.01852310198262</v>
      </c>
    </row>
    <row r="33" spans="1:16" x14ac:dyDescent="0.25">
      <c r="A33" t="s">
        <v>93</v>
      </c>
      <c r="B33" s="88">
        <v>119.7698746910896</v>
      </c>
      <c r="C33" s="88">
        <v>157.3795716471833</v>
      </c>
      <c r="D33" s="88">
        <v>149.60202375422799</v>
      </c>
      <c r="E33" s="88">
        <v>154.38852766001608</v>
      </c>
      <c r="F33" s="88">
        <v>113.5975835547311</v>
      </c>
      <c r="G33" s="88">
        <v>169.17544177403977</v>
      </c>
      <c r="H33" s="88">
        <v>129.53023784726867</v>
      </c>
      <c r="I33" s="88">
        <v>179.0804664377174</v>
      </c>
      <c r="J33" s="88">
        <v>134.71633010713188</v>
      </c>
      <c r="K33" s="88">
        <v>178.39967611656732</v>
      </c>
      <c r="L33" s="117">
        <v>269.94877234780654</v>
      </c>
      <c r="M33" s="117">
        <v>176.17253875205867</v>
      </c>
      <c r="N33" s="117">
        <v>269.15199346551225</v>
      </c>
      <c r="O33" s="117">
        <v>254.05685445860772</v>
      </c>
      <c r="P33" s="88">
        <f t="shared" si="0"/>
        <v>175.35499232956843</v>
      </c>
    </row>
    <row r="34" spans="1:16" x14ac:dyDescent="0.25">
      <c r="A34" t="s">
        <v>94</v>
      </c>
      <c r="B34" s="88">
        <v>120.00515516341575</v>
      </c>
      <c r="C34" s="88">
        <v>118.71729387206476</v>
      </c>
      <c r="D34" s="88">
        <v>131.92675603346856</v>
      </c>
      <c r="E34" s="88">
        <v>118.01893089714538</v>
      </c>
      <c r="F34" s="88">
        <v>106.96554275845574</v>
      </c>
      <c r="G34" s="88">
        <v>92.93998227864148</v>
      </c>
      <c r="H34" s="88">
        <v>83.031959533840293</v>
      </c>
      <c r="I34" s="88">
        <v>71.36612218578226</v>
      </c>
      <c r="J34" s="88">
        <v>90.169052698356978</v>
      </c>
      <c r="K34" s="88">
        <v>83.497058583171665</v>
      </c>
      <c r="L34" s="117">
        <v>99.499498139036476</v>
      </c>
      <c r="M34" s="117">
        <v>83.438167035400539</v>
      </c>
      <c r="N34" s="117">
        <v>91.32122565415672</v>
      </c>
      <c r="O34" s="117">
        <v>102.47000809485749</v>
      </c>
      <c r="P34" s="88">
        <f t="shared" si="0"/>
        <v>99.526196637699599</v>
      </c>
    </row>
    <row r="35" spans="1:16" x14ac:dyDescent="0.25">
      <c r="A35" t="s">
        <v>95</v>
      </c>
      <c r="B35" s="88"/>
      <c r="C35" s="88">
        <v>301.00657173677911</v>
      </c>
      <c r="D35" s="88">
        <v>180.98584993798264</v>
      </c>
      <c r="E35" s="88"/>
      <c r="F35" s="88">
        <v>177.05489444974947</v>
      </c>
      <c r="G35" s="88">
        <v>137.95638888369746</v>
      </c>
      <c r="H35" s="88"/>
      <c r="I35" s="88">
        <v>16.334790622089219</v>
      </c>
      <c r="J35" s="88">
        <v>217.82817321536453</v>
      </c>
      <c r="K35" s="88">
        <v>311.65481476989117</v>
      </c>
      <c r="L35" s="117">
        <v>239.57261768137201</v>
      </c>
      <c r="M35" s="117">
        <v>216.31596273281804</v>
      </c>
      <c r="N35" s="117">
        <v>403.80589700551593</v>
      </c>
      <c r="O35" s="117">
        <v>279.06037237754492</v>
      </c>
      <c r="P35" s="88">
        <f t="shared" si="0"/>
        <v>225.59784849207315</v>
      </c>
    </row>
    <row r="36" spans="1:16" x14ac:dyDescent="0.25">
      <c r="A36" t="s">
        <v>96</v>
      </c>
      <c r="B36" s="88">
        <v>185.63245119098559</v>
      </c>
      <c r="C36" s="88">
        <v>190.51086249241612</v>
      </c>
      <c r="D36" s="88">
        <v>187.95136266874957</v>
      </c>
      <c r="E36" s="88">
        <v>209.64062212016989</v>
      </c>
      <c r="F36" s="88">
        <v>245.51083524791702</v>
      </c>
      <c r="G36" s="88">
        <v>235.77060598801791</v>
      </c>
      <c r="H36" s="88">
        <v>241.1344442595917</v>
      </c>
      <c r="I36" s="88">
        <v>233.03781589163532</v>
      </c>
      <c r="J36" s="88">
        <v>273.99166991561208</v>
      </c>
      <c r="K36" s="88">
        <v>268.9371087956726</v>
      </c>
      <c r="L36" s="117">
        <v>312.28733604061529</v>
      </c>
      <c r="M36" s="117">
        <v>212.52034295276022</v>
      </c>
      <c r="N36" s="117">
        <v>437.62096580627775</v>
      </c>
      <c r="O36" s="117">
        <v>260.29177691577883</v>
      </c>
      <c r="P36" s="88">
        <f t="shared" si="0"/>
        <v>249.63130002044278</v>
      </c>
    </row>
    <row r="37" spans="1:16" x14ac:dyDescent="0.25">
      <c r="A37" t="s">
        <v>97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117">
        <v>400</v>
      </c>
      <c r="M37" s="117">
        <v>0</v>
      </c>
      <c r="N37" s="117">
        <v>0</v>
      </c>
      <c r="O37" s="117">
        <v>773</v>
      </c>
      <c r="P37" s="88">
        <f t="shared" si="0"/>
        <v>293.25</v>
      </c>
    </row>
    <row r="38" spans="1:16" x14ac:dyDescent="0.25">
      <c r="A38" t="s">
        <v>98</v>
      </c>
      <c r="B38" s="88">
        <v>160.92047421755834</v>
      </c>
      <c r="C38" s="88"/>
      <c r="D38" s="88">
        <v>288</v>
      </c>
      <c r="E38" s="88">
        <v>184.48025524146445</v>
      </c>
      <c r="F38" s="88">
        <v>116.84434158372844</v>
      </c>
      <c r="G38" s="88">
        <v>90.000078932205128</v>
      </c>
      <c r="H38" s="88">
        <v>212</v>
      </c>
      <c r="I38" s="88">
        <v>153.00010473720204</v>
      </c>
      <c r="J38" s="88">
        <v>161.46800745194491</v>
      </c>
      <c r="K38" s="88">
        <v>134.51566358667</v>
      </c>
      <c r="L38" s="117">
        <v>347.10733793211853</v>
      </c>
      <c r="M38" s="117">
        <v>557.11214790543806</v>
      </c>
      <c r="N38" s="117">
        <v>249.17763561122666</v>
      </c>
      <c r="O38" s="117">
        <v>645.93825268228591</v>
      </c>
      <c r="P38" s="88">
        <f t="shared" si="0"/>
        <v>253.88956152937251</v>
      </c>
    </row>
    <row r="39" spans="1:16" x14ac:dyDescent="0.25">
      <c r="A39" t="s">
        <v>99</v>
      </c>
      <c r="B39" s="88">
        <v>110.39087277105438</v>
      </c>
      <c r="C39" s="88">
        <v>120.3535138667967</v>
      </c>
      <c r="D39" s="88">
        <v>117.44978354175731</v>
      </c>
      <c r="E39" s="88">
        <v>113.63061673055635</v>
      </c>
      <c r="F39" s="88">
        <v>119.69031481950732</v>
      </c>
      <c r="G39" s="88">
        <v>106.82247342773826</v>
      </c>
      <c r="H39" s="88">
        <v>123.13865712066354</v>
      </c>
      <c r="I39" s="88">
        <v>125.86556616187774</v>
      </c>
      <c r="J39" s="88">
        <v>135.85569574298506</v>
      </c>
      <c r="K39" s="88">
        <v>179.16509276552361</v>
      </c>
      <c r="L39" s="117">
        <v>173.25925724156187</v>
      </c>
      <c r="M39" s="117">
        <v>171.13923007166119</v>
      </c>
      <c r="N39" s="117">
        <v>189.31672937685622</v>
      </c>
      <c r="O39" s="117">
        <v>196.72496980600044</v>
      </c>
      <c r="P39" s="88">
        <f t="shared" si="0"/>
        <v>141.62876953175288</v>
      </c>
    </row>
    <row r="40" spans="1:16" x14ac:dyDescent="0.25">
      <c r="A40" t="s">
        <v>100</v>
      </c>
      <c r="B40" s="88">
        <v>199.46950535849459</v>
      </c>
      <c r="C40" s="88">
        <v>165.48011906370857</v>
      </c>
      <c r="D40" s="88">
        <v>137.8263777909886</v>
      </c>
      <c r="E40" s="88">
        <v>166.72817170204553</v>
      </c>
      <c r="F40" s="88">
        <v>176.04052270780866</v>
      </c>
      <c r="G40" s="88">
        <v>148.32046281243095</v>
      </c>
      <c r="H40" s="88">
        <v>176.20245803248241</v>
      </c>
      <c r="I40" s="88">
        <v>161.70536174434329</v>
      </c>
      <c r="J40" s="88">
        <v>197.96335888385164</v>
      </c>
      <c r="K40" s="88">
        <v>189.03376229808228</v>
      </c>
      <c r="L40" s="117">
        <v>295.60337134512912</v>
      </c>
      <c r="M40" s="117">
        <v>263.89443098756965</v>
      </c>
      <c r="N40" s="117">
        <v>340.19729294544146</v>
      </c>
      <c r="O40" s="117">
        <v>407.23993258053537</v>
      </c>
      <c r="P40" s="88">
        <f t="shared" si="0"/>
        <v>216.121794875208</v>
      </c>
    </row>
    <row r="41" spans="1:16" x14ac:dyDescent="0.25">
      <c r="A41" t="s">
        <v>101</v>
      </c>
      <c r="B41" s="88">
        <v>138.95464310010945</v>
      </c>
      <c r="C41" s="88">
        <v>144.78757307262279</v>
      </c>
      <c r="D41" s="88">
        <v>155.03772384940362</v>
      </c>
      <c r="E41" s="88">
        <v>186.2712222265186</v>
      </c>
      <c r="F41" s="88">
        <v>132.32307821750612</v>
      </c>
      <c r="G41" s="88">
        <v>124.8779255981879</v>
      </c>
      <c r="H41" s="88">
        <v>138.65939372334856</v>
      </c>
      <c r="I41" s="88">
        <v>156.96423876478269</v>
      </c>
      <c r="J41" s="88">
        <v>157.21156933966549</v>
      </c>
      <c r="K41" s="88">
        <v>168.12174045004249</v>
      </c>
      <c r="L41" s="117">
        <v>152.95519738687887</v>
      </c>
      <c r="M41" s="117">
        <v>181.69258907010504</v>
      </c>
      <c r="N41" s="117">
        <v>160.3798521958297</v>
      </c>
      <c r="O41" s="117">
        <v>172.20245249888092</v>
      </c>
      <c r="P41" s="88">
        <f t="shared" si="0"/>
        <v>155.03137139242014</v>
      </c>
    </row>
    <row r="42" spans="1:16" x14ac:dyDescent="0.25">
      <c r="A42" t="s">
        <v>102</v>
      </c>
      <c r="B42" s="88">
        <v>194.12317802291392</v>
      </c>
      <c r="C42" s="88">
        <v>206.07677453600576</v>
      </c>
      <c r="D42" s="88">
        <v>252.00066254939543</v>
      </c>
      <c r="E42" s="88">
        <v>195.67902887247874</v>
      </c>
      <c r="F42" s="88">
        <v>114.79183786841814</v>
      </c>
      <c r="G42" s="88">
        <v>151.43849355577197</v>
      </c>
      <c r="H42" s="88">
        <v>126.1200387805132</v>
      </c>
      <c r="I42" s="88">
        <v>112.33695793105709</v>
      </c>
      <c r="J42" s="88">
        <v>124.96280868789052</v>
      </c>
      <c r="K42" s="88">
        <v>121.70965555157504</v>
      </c>
      <c r="L42" s="117">
        <v>134.38382887832063</v>
      </c>
      <c r="M42" s="117">
        <v>147.09209547044375</v>
      </c>
      <c r="N42" s="117">
        <v>226.13572864966628</v>
      </c>
      <c r="O42" s="117">
        <v>556.69512440817971</v>
      </c>
      <c r="P42" s="88">
        <f t="shared" si="0"/>
        <v>190.25330098304499</v>
      </c>
    </row>
    <row r="43" spans="1:16" x14ac:dyDescent="0.25">
      <c r="A43" t="s">
        <v>103</v>
      </c>
      <c r="B43" s="88"/>
      <c r="C43" s="88">
        <v>174.59847601860233</v>
      </c>
      <c r="D43" s="88"/>
      <c r="E43" s="88"/>
      <c r="F43" s="88"/>
      <c r="G43" s="88"/>
      <c r="H43" s="88">
        <v>547.60004107057296</v>
      </c>
      <c r="I43" s="88">
        <v>229.07312468303266</v>
      </c>
      <c r="J43" s="88">
        <v>379.81551817688552</v>
      </c>
      <c r="K43" s="88">
        <v>31.305605432730633</v>
      </c>
      <c r="L43" s="117">
        <v>497.81445932780582</v>
      </c>
      <c r="M43" s="117">
        <v>530.71924760250533</v>
      </c>
      <c r="N43" s="117">
        <v>217.10828435015839</v>
      </c>
      <c r="O43" s="117">
        <v>649.84434026794827</v>
      </c>
      <c r="P43" s="88">
        <f t="shared" si="0"/>
        <v>361.98656632558243</v>
      </c>
    </row>
    <row r="44" spans="1:16" x14ac:dyDescent="0.25">
      <c r="A44" t="s">
        <v>104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117">
        <v>0</v>
      </c>
      <c r="M44" s="117">
        <v>0</v>
      </c>
      <c r="N44" s="117">
        <v>0</v>
      </c>
      <c r="O44" s="117">
        <v>0</v>
      </c>
      <c r="P44" s="88">
        <f t="shared" si="0"/>
        <v>0</v>
      </c>
    </row>
    <row r="45" spans="1:16" x14ac:dyDescent="0.25">
      <c r="A45" t="s">
        <v>105</v>
      </c>
      <c r="B45" s="88">
        <v>113.22032901693565</v>
      </c>
      <c r="C45" s="88">
        <v>279.76945984381354</v>
      </c>
      <c r="D45" s="88">
        <v>115</v>
      </c>
      <c r="E45" s="88">
        <v>205.06666666666669</v>
      </c>
      <c r="F45" s="88">
        <v>137</v>
      </c>
      <c r="G45" s="88">
        <v>137.60637087599545</v>
      </c>
      <c r="H45" s="88">
        <v>160</v>
      </c>
      <c r="I45" s="88">
        <v>200</v>
      </c>
      <c r="J45" s="88"/>
      <c r="K45" s="88">
        <v>154.99998796975115</v>
      </c>
      <c r="L45" s="117">
        <v>197.81428453954879</v>
      </c>
      <c r="M45" s="117">
        <v>171.17923477148753</v>
      </c>
      <c r="N45" s="117">
        <v>315.30944970531755</v>
      </c>
      <c r="O45" s="117">
        <v>188.52999507345606</v>
      </c>
      <c r="P45" s="88">
        <f t="shared" si="0"/>
        <v>182.73044449715172</v>
      </c>
    </row>
    <row r="46" spans="1:16" x14ac:dyDescent="0.25">
      <c r="A46" t="s">
        <v>106</v>
      </c>
      <c r="B46" s="88">
        <v>92.365969009466781</v>
      </c>
      <c r="C46" s="88">
        <v>87.686492805296325</v>
      </c>
      <c r="D46" s="88">
        <v>89.338238515402779</v>
      </c>
      <c r="E46" s="88">
        <v>104.84035040219433</v>
      </c>
      <c r="F46" s="88">
        <v>113.20481226619297</v>
      </c>
      <c r="G46" s="88">
        <v>112.88880310190119</v>
      </c>
      <c r="H46" s="88">
        <v>114.93445926256675</v>
      </c>
      <c r="I46" s="88">
        <v>114.42311553491091</v>
      </c>
      <c r="J46" s="88">
        <v>132.38239355633795</v>
      </c>
      <c r="K46" s="88">
        <v>140.99404694130914</v>
      </c>
      <c r="L46" s="117">
        <v>158.49670116372911</v>
      </c>
      <c r="M46" s="117">
        <v>175.18129089791705</v>
      </c>
      <c r="N46" s="117">
        <v>133.37199040084226</v>
      </c>
      <c r="O46" s="117">
        <v>66.323155932087545</v>
      </c>
      <c r="P46" s="88">
        <f t="shared" si="0"/>
        <v>116.8879871278682</v>
      </c>
    </row>
    <row r="47" spans="1:16" x14ac:dyDescent="0.25">
      <c r="A47" t="s">
        <v>107</v>
      </c>
      <c r="B47" s="88"/>
      <c r="C47" s="88">
        <v>217.18723257567953</v>
      </c>
      <c r="D47" s="88">
        <v>176.29505754108453</v>
      </c>
      <c r="E47" s="88">
        <v>131.24353247015472</v>
      </c>
      <c r="F47" s="88">
        <v>170.58482750670646</v>
      </c>
      <c r="G47" s="88">
        <v>181.7045911748904</v>
      </c>
      <c r="H47" s="88">
        <v>153.55260700614838</v>
      </c>
      <c r="I47" s="88">
        <v>162.3415203265526</v>
      </c>
      <c r="J47" s="88">
        <v>172.79748658201336</v>
      </c>
      <c r="K47" s="88"/>
      <c r="L47" s="117">
        <v>806.49102813947673</v>
      </c>
      <c r="M47" s="117">
        <v>983.87038268544813</v>
      </c>
      <c r="N47" s="117">
        <v>671.06353320447147</v>
      </c>
      <c r="O47" s="117">
        <v>507.66662512296</v>
      </c>
      <c r="P47" s="88">
        <f t="shared" si="0"/>
        <v>361.23320202796549</v>
      </c>
    </row>
    <row r="48" spans="1:16" x14ac:dyDescent="0.25">
      <c r="A48" t="s">
        <v>108</v>
      </c>
      <c r="B48" s="88">
        <v>185.02508569242823</v>
      </c>
      <c r="C48" s="88">
        <v>208.24368643726626</v>
      </c>
      <c r="D48" s="88">
        <v>270</v>
      </c>
      <c r="E48" s="88">
        <v>182.63149559525345</v>
      </c>
      <c r="F48" s="88">
        <v>178.28771716742102</v>
      </c>
      <c r="G48" s="88">
        <v>200.25787644354747</v>
      </c>
      <c r="H48" s="88">
        <v>144.00056788956351</v>
      </c>
      <c r="I48" s="88">
        <v>210.73333333333335</v>
      </c>
      <c r="J48" s="88">
        <v>240</v>
      </c>
      <c r="K48" s="88">
        <v>195.6</v>
      </c>
      <c r="L48" s="117">
        <v>364.66492552902889</v>
      </c>
      <c r="M48" s="117">
        <v>241.72497033272819</v>
      </c>
      <c r="N48" s="117">
        <v>247.65496593076395</v>
      </c>
      <c r="O48" s="117">
        <v>329.98170974155067</v>
      </c>
      <c r="P48" s="88">
        <f t="shared" si="0"/>
        <v>228.48616672092038</v>
      </c>
    </row>
    <row r="49" spans="1:16" x14ac:dyDescent="0.25">
      <c r="A49" s="18" t="s">
        <v>61</v>
      </c>
      <c r="B49" s="88">
        <v>135.10004199351775</v>
      </c>
      <c r="C49" s="88">
        <v>147.70789483141962</v>
      </c>
      <c r="D49" s="88">
        <v>150.131949075629</v>
      </c>
      <c r="E49" s="88">
        <v>149.34472667393877</v>
      </c>
      <c r="F49" s="88">
        <v>130.56575326972214</v>
      </c>
      <c r="G49" s="88">
        <v>132.22867619743658</v>
      </c>
      <c r="H49" s="88">
        <v>131.65429101223518</v>
      </c>
      <c r="I49" s="88">
        <v>136.67610673640925</v>
      </c>
      <c r="J49" s="88">
        <v>149.1666079616308</v>
      </c>
      <c r="K49" s="88">
        <v>166.46686445032265</v>
      </c>
      <c r="L49" s="88"/>
      <c r="M49" s="88"/>
      <c r="N49" s="88"/>
      <c r="O49" s="88"/>
      <c r="P49">
        <v>141.97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B5AAC-C539-7845-B3F2-208097E4445A}">
  <dimension ref="A1:P49"/>
  <sheetViews>
    <sheetView topLeftCell="A9" workbookViewId="0">
      <selection activeCell="S15" sqref="S15"/>
    </sheetView>
  </sheetViews>
  <sheetFormatPr defaultColWidth="11.42578125" defaultRowHeight="15" x14ac:dyDescent="0.25"/>
  <sheetData>
    <row r="1" spans="1:16" x14ac:dyDescent="0.25">
      <c r="A1" s="89" t="s">
        <v>109</v>
      </c>
      <c r="B1" s="89">
        <v>2005</v>
      </c>
      <c r="C1" s="89">
        <v>2006</v>
      </c>
      <c r="D1" s="89">
        <v>2007</v>
      </c>
      <c r="E1" s="89">
        <v>2008</v>
      </c>
      <c r="F1" s="89">
        <v>2009</v>
      </c>
      <c r="G1" s="89">
        <v>2010</v>
      </c>
      <c r="H1" s="89">
        <v>2011</v>
      </c>
      <c r="I1" s="89">
        <v>2012</v>
      </c>
      <c r="J1" s="89">
        <v>2013</v>
      </c>
      <c r="K1" s="89">
        <v>2014</v>
      </c>
      <c r="L1" s="89">
        <v>2015</v>
      </c>
      <c r="M1" s="89">
        <v>2016</v>
      </c>
      <c r="N1" s="89">
        <v>2017</v>
      </c>
      <c r="O1" s="89">
        <v>2018</v>
      </c>
      <c r="P1" s="89" t="s">
        <v>114</v>
      </c>
    </row>
    <row r="2" spans="1:16" x14ac:dyDescent="0.25">
      <c r="A2" t="s">
        <v>62</v>
      </c>
      <c r="B2" s="88">
        <v>44.072810057459201</v>
      </c>
      <c r="C2" s="88">
        <v>52.369195932627477</v>
      </c>
      <c r="D2" s="88">
        <v>55.777215869598173</v>
      </c>
      <c r="E2" s="88">
        <v>58.301529450679041</v>
      </c>
      <c r="F2" s="88">
        <v>58.517175735436396</v>
      </c>
      <c r="G2" s="88">
        <v>60.308042111975091</v>
      </c>
      <c r="H2" s="88">
        <v>62.893683604010931</v>
      </c>
      <c r="I2" s="88">
        <v>66.081524341190431</v>
      </c>
      <c r="J2" s="88">
        <v>70.230476454759241</v>
      </c>
      <c r="K2" s="88">
        <v>73.393647152275321</v>
      </c>
      <c r="L2" s="117">
        <v>85.051444049922083</v>
      </c>
      <c r="M2" s="117">
        <v>78.362663926002924</v>
      </c>
      <c r="N2" s="117">
        <v>78.421497204574976</v>
      </c>
      <c r="O2" s="117">
        <v>86.13079218598844</v>
      </c>
      <c r="P2" s="88">
        <f>AVERAGE(B2:O2)</f>
        <v>66.422264148321418</v>
      </c>
    </row>
    <row r="3" spans="1:16" x14ac:dyDescent="0.25">
      <c r="A3" t="s">
        <v>63</v>
      </c>
      <c r="B3" s="88">
        <v>48.79809721770436</v>
      </c>
      <c r="C3" s="88">
        <v>68.376419420269542</v>
      </c>
      <c r="D3" s="88">
        <v>66.833179759823977</v>
      </c>
      <c r="E3" s="88">
        <v>88.665254607055985</v>
      </c>
      <c r="F3" s="88">
        <v>76.008134689260913</v>
      </c>
      <c r="G3" s="88">
        <v>74.173648028377087</v>
      </c>
      <c r="H3" s="88">
        <v>73.712346249296857</v>
      </c>
      <c r="I3" s="88">
        <v>79.326030747732474</v>
      </c>
      <c r="J3" s="88">
        <v>74.210774089637255</v>
      </c>
      <c r="K3" s="88">
        <v>79.219030810372871</v>
      </c>
      <c r="L3" s="117">
        <v>89.190596354730204</v>
      </c>
      <c r="M3" s="117">
        <v>85.848314831083258</v>
      </c>
      <c r="N3" s="117">
        <v>85.748402701418385</v>
      </c>
      <c r="O3" s="117">
        <v>96.782028450908385</v>
      </c>
      <c r="P3" s="88">
        <f t="shared" ref="P3:P48" si="0">AVERAGE(B3:O3)</f>
        <v>77.635161282690817</v>
      </c>
    </row>
    <row r="4" spans="1:16" x14ac:dyDescent="0.25">
      <c r="A4" t="s">
        <v>64</v>
      </c>
      <c r="B4" s="88">
        <v>45.03380768272519</v>
      </c>
      <c r="C4" s="88">
        <v>55.608619063857105</v>
      </c>
      <c r="D4" s="88">
        <v>57.974219262594254</v>
      </c>
      <c r="E4" s="88">
        <v>70.916599141970323</v>
      </c>
      <c r="F4" s="88">
        <v>50.42772913631638</v>
      </c>
      <c r="G4" s="88">
        <v>52.949111927660695</v>
      </c>
      <c r="H4" s="88">
        <v>57.574350245796495</v>
      </c>
      <c r="I4" s="88">
        <v>61.950418900492252</v>
      </c>
      <c r="J4" s="88">
        <v>62.785494008337317</v>
      </c>
      <c r="K4" s="88">
        <v>61.013718425008001</v>
      </c>
      <c r="L4" s="117">
        <v>64.129627683956741</v>
      </c>
      <c r="M4" s="117">
        <v>62.70185257468831</v>
      </c>
      <c r="N4" s="117">
        <v>65.255288746933104</v>
      </c>
      <c r="O4" s="117">
        <v>67.45042259402139</v>
      </c>
      <c r="P4" s="88">
        <f t="shared" si="0"/>
        <v>59.697947099596981</v>
      </c>
    </row>
    <row r="5" spans="1:16" x14ac:dyDescent="0.25">
      <c r="A5" t="s">
        <v>65</v>
      </c>
      <c r="B5" s="88">
        <v>74.145653347197907</v>
      </c>
      <c r="C5" s="88">
        <v>91.841530158915774</v>
      </c>
      <c r="D5" s="88">
        <v>90.24580831997325</v>
      </c>
      <c r="E5" s="88">
        <v>95.806386966066199</v>
      </c>
      <c r="F5" s="88">
        <v>81.707348025008656</v>
      </c>
      <c r="G5" s="88">
        <v>78.634015120204239</v>
      </c>
      <c r="H5" s="88">
        <v>89.6544558870944</v>
      </c>
      <c r="I5" s="88">
        <v>89.394828736781321</v>
      </c>
      <c r="J5" s="88">
        <v>92.875271650910378</v>
      </c>
      <c r="K5" s="88">
        <v>95.158591626978136</v>
      </c>
      <c r="L5" s="117">
        <v>98.60680046268287</v>
      </c>
      <c r="M5" s="117">
        <v>95.644704279887364</v>
      </c>
      <c r="N5" s="117">
        <v>105.59699982222263</v>
      </c>
      <c r="O5" s="117">
        <v>129.75331699414761</v>
      </c>
      <c r="P5" s="88">
        <f t="shared" si="0"/>
        <v>93.504693671290752</v>
      </c>
    </row>
    <row r="6" spans="1:16" x14ac:dyDescent="0.25">
      <c r="A6" t="s">
        <v>66</v>
      </c>
      <c r="B6" s="88">
        <v>40.395351415635638</v>
      </c>
      <c r="C6" s="88">
        <v>50.192212356639629</v>
      </c>
      <c r="D6" s="88">
        <v>55.585754593851497</v>
      </c>
      <c r="E6" s="88">
        <v>57.813685035528678</v>
      </c>
      <c r="F6" s="88">
        <v>55.379894324349479</v>
      </c>
      <c r="G6" s="88">
        <v>54.805351387864576</v>
      </c>
      <c r="H6" s="88">
        <v>60.463581530626413</v>
      </c>
      <c r="I6" s="88">
        <v>65.186822118524546</v>
      </c>
      <c r="J6" s="88">
        <v>68.573166426470905</v>
      </c>
      <c r="K6" s="88">
        <v>76.871894543106933</v>
      </c>
      <c r="L6" s="117">
        <v>81.438366785670269</v>
      </c>
      <c r="M6" s="117">
        <v>82.220439010822176</v>
      </c>
      <c r="N6" s="117">
        <v>73.305381643363063</v>
      </c>
      <c r="O6" s="117">
        <v>67.059919055408372</v>
      </c>
      <c r="P6" s="88">
        <f t="shared" si="0"/>
        <v>63.520844301990152</v>
      </c>
    </row>
    <row r="7" spans="1:16" x14ac:dyDescent="0.25">
      <c r="A7" t="s">
        <v>67</v>
      </c>
      <c r="B7" s="88">
        <v>56.653559227766955</v>
      </c>
      <c r="C7" s="88">
        <v>67.245693167885847</v>
      </c>
      <c r="D7" s="88">
        <v>76.895890676380219</v>
      </c>
      <c r="E7" s="88">
        <v>95.843154185420715</v>
      </c>
      <c r="F7" s="88">
        <v>78.407074986657534</v>
      </c>
      <c r="G7" s="88">
        <v>55.957147488563258</v>
      </c>
      <c r="H7" s="88">
        <v>59.12943564164847</v>
      </c>
      <c r="I7" s="88">
        <v>60.189022004432154</v>
      </c>
      <c r="J7" s="88">
        <v>69.035566428174889</v>
      </c>
      <c r="K7" s="88">
        <v>69.387377603713404</v>
      </c>
      <c r="L7" s="117">
        <v>69.856705317611315</v>
      </c>
      <c r="M7" s="117">
        <v>83.903994684561411</v>
      </c>
      <c r="N7" s="117">
        <v>115.67310990124132</v>
      </c>
      <c r="O7" s="117">
        <v>94.298938577820252</v>
      </c>
      <c r="P7" s="88">
        <f t="shared" si="0"/>
        <v>75.176904992276974</v>
      </c>
    </row>
    <row r="8" spans="1:16" x14ac:dyDescent="0.25">
      <c r="A8" t="s">
        <v>68</v>
      </c>
      <c r="B8" s="88">
        <v>50.310129097280743</v>
      </c>
      <c r="C8" s="88">
        <v>54.962890558964418</v>
      </c>
      <c r="D8" s="88">
        <v>62.260380093938032</v>
      </c>
      <c r="E8" s="88">
        <v>52.658019611103789</v>
      </c>
      <c r="F8" s="88">
        <v>53.878395497150294</v>
      </c>
      <c r="G8" s="88">
        <v>52.248856996127387</v>
      </c>
      <c r="H8" s="88">
        <v>61.029115609177978</v>
      </c>
      <c r="I8" s="88">
        <v>56.907247746557324</v>
      </c>
      <c r="J8" s="88">
        <v>48.23054572212537</v>
      </c>
      <c r="K8" s="88">
        <v>62.462426001356334</v>
      </c>
      <c r="L8" s="117">
        <v>65.958601962865274</v>
      </c>
      <c r="M8" s="117">
        <v>70.017731530572917</v>
      </c>
      <c r="N8" s="117">
        <v>18.624607436410617</v>
      </c>
      <c r="O8" s="117">
        <v>15.185276445164208</v>
      </c>
      <c r="P8" s="88">
        <f t="shared" si="0"/>
        <v>51.766730307771056</v>
      </c>
    </row>
    <row r="9" spans="1:16" x14ac:dyDescent="0.25">
      <c r="A9" t="s">
        <v>69</v>
      </c>
      <c r="B9" s="88">
        <v>77.877263422709191</v>
      </c>
      <c r="C9" s="88">
        <v>106.05443045720162</v>
      </c>
      <c r="D9" s="88">
        <v>101.60921353664426</v>
      </c>
      <c r="E9" s="88">
        <v>102.46827302396549</v>
      </c>
      <c r="F9" s="88">
        <v>84.661543310008</v>
      </c>
      <c r="G9" s="88">
        <v>81.999222038981117</v>
      </c>
      <c r="H9" s="88">
        <v>87.318802337668515</v>
      </c>
      <c r="I9" s="88">
        <v>93.996113630075612</v>
      </c>
      <c r="J9" s="88">
        <v>91.854652241177618</v>
      </c>
      <c r="K9" s="88">
        <v>96.572098250004231</v>
      </c>
      <c r="L9" s="117">
        <v>107.7795584305149</v>
      </c>
      <c r="M9" s="117">
        <v>107.85968881303891</v>
      </c>
      <c r="N9" s="117">
        <v>103.82607328433352</v>
      </c>
      <c r="O9" s="117">
        <v>108.22905953815057</v>
      </c>
      <c r="P9" s="88">
        <f t="shared" si="0"/>
        <v>96.578999451033823</v>
      </c>
    </row>
    <row r="10" spans="1:16" x14ac:dyDescent="0.25">
      <c r="A10" t="s">
        <v>70</v>
      </c>
      <c r="B10" s="88">
        <v>46.33079026283751</v>
      </c>
      <c r="C10" s="88">
        <v>65.027849892614014</v>
      </c>
      <c r="D10" s="88">
        <v>65.620156170461115</v>
      </c>
      <c r="E10" s="88">
        <v>68.176588991764916</v>
      </c>
      <c r="F10" s="88">
        <v>59.19040465172391</v>
      </c>
      <c r="G10" s="88">
        <v>62.232664543082556</v>
      </c>
      <c r="H10" s="88">
        <v>66.83364282299965</v>
      </c>
      <c r="I10" s="88">
        <v>71.94044683793885</v>
      </c>
      <c r="J10" s="88">
        <v>69.610284494534142</v>
      </c>
      <c r="K10" s="88">
        <v>72.713040723624772</v>
      </c>
      <c r="L10" s="117">
        <v>58.700022598536407</v>
      </c>
      <c r="M10" s="117">
        <v>60.85503924315654</v>
      </c>
      <c r="N10" s="117">
        <v>83.714057461492104</v>
      </c>
      <c r="O10" s="117">
        <v>91.417193639095643</v>
      </c>
      <c r="P10" s="88">
        <f t="shared" si="0"/>
        <v>67.311584452418714</v>
      </c>
    </row>
    <row r="11" spans="1:16" x14ac:dyDescent="0.25">
      <c r="A11" t="s">
        <v>71</v>
      </c>
      <c r="B11" s="88">
        <v>36.420527892431416</v>
      </c>
      <c r="C11" s="88">
        <v>45.591824151461701</v>
      </c>
      <c r="D11" s="88">
        <v>48.12211951239059</v>
      </c>
      <c r="E11" s="88">
        <v>56.124591464039106</v>
      </c>
      <c r="F11" s="88">
        <v>64.056275654809738</v>
      </c>
      <c r="G11" s="88">
        <v>60.055578879161864</v>
      </c>
      <c r="H11" s="88">
        <v>63.604596345274238</v>
      </c>
      <c r="I11" s="88">
        <v>66.176680744414156</v>
      </c>
      <c r="J11" s="88">
        <v>61.260127114113942</v>
      </c>
      <c r="K11" s="88">
        <v>64.970334922254651</v>
      </c>
      <c r="L11" s="117">
        <v>76.999734378930071</v>
      </c>
      <c r="M11" s="117">
        <v>64.02920626380039</v>
      </c>
      <c r="N11" s="117">
        <v>64.626005946088881</v>
      </c>
      <c r="O11" s="117">
        <v>78.962805810403864</v>
      </c>
      <c r="P11" s="88">
        <f t="shared" si="0"/>
        <v>60.785743505683897</v>
      </c>
    </row>
    <row r="12" spans="1:16" x14ac:dyDescent="0.25">
      <c r="A12" t="s">
        <v>72</v>
      </c>
      <c r="B12" s="88">
        <v>38.2892746603628</v>
      </c>
      <c r="C12" s="88">
        <v>47.594068034495059</v>
      </c>
      <c r="D12" s="88">
        <v>50.277107705527591</v>
      </c>
      <c r="E12" s="88">
        <v>64.747408104482687</v>
      </c>
      <c r="F12" s="88">
        <v>55.824703628904373</v>
      </c>
      <c r="G12" s="88"/>
      <c r="H12" s="88">
        <v>56.302929509520496</v>
      </c>
      <c r="I12" s="88">
        <v>58.171750513426694</v>
      </c>
      <c r="J12" s="88">
        <v>59.489308835614281</v>
      </c>
      <c r="K12" s="88">
        <v>65.013530391327222</v>
      </c>
      <c r="L12" s="117">
        <v>68.197566307402624</v>
      </c>
      <c r="M12" s="117">
        <v>60.845550859879189</v>
      </c>
      <c r="N12" s="117">
        <v>97.971569702415607</v>
      </c>
      <c r="O12" s="117">
        <v>165.06155909369983</v>
      </c>
      <c r="P12" s="88">
        <f t="shared" si="0"/>
        <v>68.291255949773728</v>
      </c>
    </row>
    <row r="13" spans="1:16" x14ac:dyDescent="0.25">
      <c r="A13" t="s">
        <v>73</v>
      </c>
      <c r="B13" s="88">
        <v>46.412213911520602</v>
      </c>
      <c r="C13" s="88">
        <v>61.416350083046964</v>
      </c>
      <c r="D13" s="88">
        <v>63.789374558239622</v>
      </c>
      <c r="E13" s="88">
        <v>74.002382858178791</v>
      </c>
      <c r="F13" s="88">
        <v>78.988068820965893</v>
      </c>
      <c r="G13" s="88">
        <v>83.726230294136286</v>
      </c>
      <c r="H13" s="88">
        <v>78.148108619090337</v>
      </c>
      <c r="I13" s="88">
        <v>79.12049049933276</v>
      </c>
      <c r="J13" s="88">
        <v>76.930824031100386</v>
      </c>
      <c r="K13" s="88">
        <v>81.979675061087207</v>
      </c>
      <c r="L13" s="117">
        <v>95.759033036297808</v>
      </c>
      <c r="M13" s="117">
        <v>91.938645974975273</v>
      </c>
      <c r="N13" s="117">
        <v>88.073192066558306</v>
      </c>
      <c r="O13" s="117">
        <v>71.098024437588094</v>
      </c>
      <c r="P13" s="88">
        <f t="shared" si="0"/>
        <v>76.527329589437031</v>
      </c>
    </row>
    <row r="14" spans="1:16" x14ac:dyDescent="0.25">
      <c r="A14" t="s">
        <v>74</v>
      </c>
      <c r="B14" s="88">
        <v>38.544527336929676</v>
      </c>
      <c r="C14" s="88">
        <v>51.289078045550532</v>
      </c>
      <c r="D14" s="88">
        <v>52.825912542206211</v>
      </c>
      <c r="E14" s="88">
        <v>59.518913421429176</v>
      </c>
      <c r="F14" s="88">
        <v>52.568447328428746</v>
      </c>
      <c r="G14" s="88">
        <v>54.552364393591347</v>
      </c>
      <c r="H14" s="88">
        <v>54.412733661029044</v>
      </c>
      <c r="I14" s="88">
        <v>57.004183581287322</v>
      </c>
      <c r="J14" s="88">
        <v>59.104921950078968</v>
      </c>
      <c r="K14" s="88">
        <v>66.193524368847562</v>
      </c>
      <c r="L14" s="117">
        <v>84.453606452160273</v>
      </c>
      <c r="M14" s="117">
        <v>73.36509320703999</v>
      </c>
      <c r="N14" s="117">
        <v>80.705784687096696</v>
      </c>
      <c r="O14" s="117">
        <v>87.795317912105645</v>
      </c>
      <c r="P14" s="88">
        <f t="shared" si="0"/>
        <v>62.309600634841509</v>
      </c>
    </row>
    <row r="15" spans="1:16" x14ac:dyDescent="0.25">
      <c r="A15" t="s">
        <v>75</v>
      </c>
      <c r="B15" s="88">
        <v>46.237062173655964</v>
      </c>
      <c r="C15" s="88">
        <v>55.532131254547146</v>
      </c>
      <c r="D15" s="88">
        <v>54.456371177578674</v>
      </c>
      <c r="E15" s="88">
        <v>67.920956409869305</v>
      </c>
      <c r="F15" s="88">
        <v>53.119678010611317</v>
      </c>
      <c r="G15" s="88">
        <v>62.640639413809652</v>
      </c>
      <c r="H15" s="88">
        <v>61.376969809747791</v>
      </c>
      <c r="I15" s="88">
        <v>68.872477164533251</v>
      </c>
      <c r="J15" s="88">
        <v>63.33605192688205</v>
      </c>
      <c r="K15" s="88">
        <v>73.021628952977352</v>
      </c>
      <c r="L15" s="117">
        <v>71.99771301492369</v>
      </c>
      <c r="M15" s="117">
        <v>66.06176418554476</v>
      </c>
      <c r="N15" s="117">
        <v>63.048343155685636</v>
      </c>
      <c r="O15" s="117">
        <v>73.260973842057695</v>
      </c>
      <c r="P15" s="88">
        <f t="shared" si="0"/>
        <v>62.920197178030307</v>
      </c>
    </row>
    <row r="16" spans="1:16" x14ac:dyDescent="0.25">
      <c r="A16" t="s">
        <v>76</v>
      </c>
      <c r="B16" s="88">
        <v>39.100991377669096</v>
      </c>
      <c r="C16" s="88">
        <v>46.032793817622903</v>
      </c>
      <c r="D16" s="88">
        <v>41.646343427285011</v>
      </c>
      <c r="E16" s="88">
        <v>67.516030046949666</v>
      </c>
      <c r="F16" s="88">
        <v>58.446042675810837</v>
      </c>
      <c r="G16" s="88">
        <v>61.384282784732854</v>
      </c>
      <c r="H16" s="88">
        <v>64.40404731298473</v>
      </c>
      <c r="I16" s="88">
        <v>70.36082655890813</v>
      </c>
      <c r="J16" s="88">
        <v>71.100557875740023</v>
      </c>
      <c r="K16" s="88">
        <v>74.126568905655503</v>
      </c>
      <c r="L16" s="117">
        <v>78.442622868827357</v>
      </c>
      <c r="M16" s="117">
        <v>76.700848240384389</v>
      </c>
      <c r="N16" s="117">
        <v>77.954810128556318</v>
      </c>
      <c r="O16" s="117">
        <v>83.362143427332455</v>
      </c>
      <c r="P16" s="88">
        <f t="shared" si="0"/>
        <v>65.041350674889955</v>
      </c>
    </row>
    <row r="17" spans="1:16" x14ac:dyDescent="0.25">
      <c r="A17" t="s">
        <v>77</v>
      </c>
      <c r="B17" s="88">
        <v>54.142466572952749</v>
      </c>
      <c r="C17" s="88">
        <v>69.592697805385228</v>
      </c>
      <c r="D17" s="88">
        <v>77.377469828121818</v>
      </c>
      <c r="E17" s="88">
        <v>90.387080812701925</v>
      </c>
      <c r="F17" s="88">
        <v>77.454710228094171</v>
      </c>
      <c r="G17" s="88">
        <v>73.553338620865475</v>
      </c>
      <c r="H17" s="88">
        <v>83.162873280187085</v>
      </c>
      <c r="I17" s="88">
        <v>90.573116509192644</v>
      </c>
      <c r="J17" s="88">
        <v>85.008257257081937</v>
      </c>
      <c r="K17" s="88">
        <v>89.569813721163584</v>
      </c>
      <c r="L17" s="117">
        <v>97.563543004105284</v>
      </c>
      <c r="M17" s="117">
        <v>102.63732368231746</v>
      </c>
      <c r="N17" s="117">
        <v>89.063744230249696</v>
      </c>
      <c r="O17" s="117">
        <v>96.123167887948128</v>
      </c>
      <c r="P17" s="88">
        <f t="shared" si="0"/>
        <v>84.014971674311951</v>
      </c>
    </row>
    <row r="18" spans="1:16" x14ac:dyDescent="0.25">
      <c r="A18" t="s">
        <v>78</v>
      </c>
      <c r="B18" s="88">
        <v>40.09838944617146</v>
      </c>
      <c r="C18" s="88">
        <v>58.849562261083896</v>
      </c>
      <c r="D18" s="88">
        <v>53.821228425030512</v>
      </c>
      <c r="E18" s="88">
        <v>58.867238059913028</v>
      </c>
      <c r="F18" s="88">
        <v>57.842688815437931</v>
      </c>
      <c r="G18" s="88">
        <v>49.716715497697514</v>
      </c>
      <c r="H18" s="88">
        <v>40.058829990639282</v>
      </c>
      <c r="I18" s="88">
        <v>35.604593427418763</v>
      </c>
      <c r="J18" s="88">
        <v>35.771671724744792</v>
      </c>
      <c r="K18" s="88">
        <v>36.547607214193548</v>
      </c>
      <c r="L18" s="117">
        <v>31.182576983299011</v>
      </c>
      <c r="M18" s="117">
        <v>26.946485431042856</v>
      </c>
      <c r="N18" s="117">
        <v>27.855904970444158</v>
      </c>
      <c r="O18" s="117">
        <v>30.338954284433807</v>
      </c>
      <c r="P18" s="88">
        <f t="shared" si="0"/>
        <v>41.678746180825044</v>
      </c>
    </row>
    <row r="19" spans="1:16" x14ac:dyDescent="0.25">
      <c r="A19" t="s">
        <v>79</v>
      </c>
      <c r="B19" s="88">
        <v>60.449409164669468</v>
      </c>
      <c r="C19" s="88">
        <v>68.618417297169827</v>
      </c>
      <c r="D19" s="88">
        <v>68.617963499438716</v>
      </c>
      <c r="E19" s="88">
        <v>77.046444280993597</v>
      </c>
      <c r="F19" s="88">
        <v>68.88817642857903</v>
      </c>
      <c r="G19" s="88">
        <v>77.406213054247019</v>
      </c>
      <c r="H19" s="88">
        <v>82.000542446792608</v>
      </c>
      <c r="I19" s="88">
        <v>84.311823844267408</v>
      </c>
      <c r="J19" s="88">
        <v>89.058777228887877</v>
      </c>
      <c r="K19" s="88">
        <v>86.248779942090607</v>
      </c>
      <c r="L19" s="117">
        <v>93.402015061140432</v>
      </c>
      <c r="M19" s="117">
        <v>87.677871654151218</v>
      </c>
      <c r="N19" s="117">
        <v>88.742149368872958</v>
      </c>
      <c r="O19" s="117">
        <v>107.01484766824481</v>
      </c>
      <c r="P19" s="88">
        <f t="shared" si="0"/>
        <v>81.391673638538961</v>
      </c>
    </row>
    <row r="20" spans="1:16" x14ac:dyDescent="0.25">
      <c r="A20" t="s">
        <v>80</v>
      </c>
      <c r="B20" s="88">
        <v>45.761205407993877</v>
      </c>
      <c r="C20" s="88">
        <v>62.014670800890173</v>
      </c>
      <c r="D20" s="88">
        <v>59.048817103964382</v>
      </c>
      <c r="E20" s="88">
        <v>71.04578917206436</v>
      </c>
      <c r="F20" s="88">
        <v>71.142960716045849</v>
      </c>
      <c r="G20" s="88">
        <v>72.606020318262381</v>
      </c>
      <c r="H20" s="88">
        <v>72.146605703516073</v>
      </c>
      <c r="I20" s="88">
        <v>78.723541215184937</v>
      </c>
      <c r="J20" s="88">
        <v>74.821050541782071</v>
      </c>
      <c r="K20" s="88">
        <v>85.252801943064469</v>
      </c>
      <c r="L20" s="117">
        <v>93.474431277733842</v>
      </c>
      <c r="M20" s="117">
        <v>81.311248982228093</v>
      </c>
      <c r="N20" s="117">
        <v>80.541127644503419</v>
      </c>
      <c r="O20" s="117">
        <v>83.840217593515703</v>
      </c>
      <c r="P20" s="88">
        <f t="shared" si="0"/>
        <v>73.695034887196385</v>
      </c>
    </row>
    <row r="21" spans="1:16" x14ac:dyDescent="0.25">
      <c r="A21" t="s">
        <v>81</v>
      </c>
      <c r="B21" s="88">
        <v>39.119687101751616</v>
      </c>
      <c r="C21" s="88">
        <v>47.777094887835368</v>
      </c>
      <c r="D21" s="88">
        <v>49.439074368897003</v>
      </c>
      <c r="E21" s="88">
        <v>59.437996955000884</v>
      </c>
      <c r="F21" s="88">
        <v>57.945150224339628</v>
      </c>
      <c r="G21" s="88">
        <v>56.980636610086471</v>
      </c>
      <c r="H21" s="88">
        <v>58.829416676468803</v>
      </c>
      <c r="I21" s="88">
        <v>63.707005404611564</v>
      </c>
      <c r="J21" s="88">
        <v>60.414632171040452</v>
      </c>
      <c r="K21" s="88">
        <v>62.323060369919695</v>
      </c>
      <c r="L21" s="117">
        <v>69.997545923031765</v>
      </c>
      <c r="M21" s="117">
        <v>63.963561820051112</v>
      </c>
      <c r="N21" s="117">
        <v>65.679554213351537</v>
      </c>
      <c r="O21" s="117">
        <v>75.780075719217876</v>
      </c>
      <c r="P21" s="88">
        <f t="shared" si="0"/>
        <v>59.385320888971705</v>
      </c>
    </row>
    <row r="22" spans="1:16" x14ac:dyDescent="0.25">
      <c r="A22" t="s">
        <v>82</v>
      </c>
      <c r="B22" s="88">
        <v>30.817365606427725</v>
      </c>
      <c r="C22" s="88">
        <v>40.176226518892719</v>
      </c>
      <c r="D22" s="88">
        <v>41.327507544854811</v>
      </c>
      <c r="E22" s="88">
        <v>46.71925905905541</v>
      </c>
      <c r="F22" s="88">
        <v>46.934238977295891</v>
      </c>
      <c r="G22" s="88">
        <v>50.971785705451332</v>
      </c>
      <c r="H22" s="88">
        <v>52.912392416595452</v>
      </c>
      <c r="I22" s="88">
        <v>58.682059093507995</v>
      </c>
      <c r="J22" s="88">
        <v>56.913926442785048</v>
      </c>
      <c r="K22" s="88">
        <v>60.675797850956144</v>
      </c>
      <c r="L22" s="117">
        <v>60.328070107378551</v>
      </c>
      <c r="M22" s="117">
        <v>50.139589251588923</v>
      </c>
      <c r="N22" s="117">
        <v>52.577540379401277</v>
      </c>
      <c r="O22" s="117">
        <v>55.159013969233648</v>
      </c>
      <c r="P22" s="88">
        <f t="shared" si="0"/>
        <v>50.309626637387503</v>
      </c>
    </row>
    <row r="23" spans="1:16" x14ac:dyDescent="0.25">
      <c r="A23" t="s">
        <v>83</v>
      </c>
      <c r="B23" s="88">
        <v>49.305537313546253</v>
      </c>
      <c r="C23" s="88">
        <v>54.70324251351331</v>
      </c>
      <c r="D23" s="88">
        <v>48.531269415628586</v>
      </c>
      <c r="E23" s="88">
        <v>60.604120417764513</v>
      </c>
      <c r="F23" s="88">
        <v>54.868483456675527</v>
      </c>
      <c r="G23" s="88">
        <v>54.012673785152288</v>
      </c>
      <c r="H23" s="88">
        <v>53.740836785405392</v>
      </c>
      <c r="I23" s="88">
        <v>58.585217721477122</v>
      </c>
      <c r="J23" s="88">
        <v>57.335760988379647</v>
      </c>
      <c r="K23" s="88">
        <v>64.761035510355754</v>
      </c>
      <c r="L23" s="117">
        <v>67.063755172051941</v>
      </c>
      <c r="M23" s="117">
        <v>63.350494948661201</v>
      </c>
      <c r="N23" s="117">
        <v>65.297898089218776</v>
      </c>
      <c r="O23" s="117">
        <v>68.534483882521158</v>
      </c>
      <c r="P23" s="88">
        <f t="shared" si="0"/>
        <v>58.621057857167962</v>
      </c>
    </row>
    <row r="24" spans="1:16" x14ac:dyDescent="0.25">
      <c r="A24" t="s">
        <v>84</v>
      </c>
      <c r="B24" s="88">
        <v>48.401209684944142</v>
      </c>
      <c r="C24" s="88">
        <v>61.64337789773959</v>
      </c>
      <c r="D24" s="88">
        <v>70.802404039016736</v>
      </c>
      <c r="E24" s="88">
        <v>73.457107635239481</v>
      </c>
      <c r="F24" s="88">
        <v>74.099150350312797</v>
      </c>
      <c r="G24" s="88">
        <v>72.727008284426191</v>
      </c>
      <c r="H24" s="88">
        <v>77.54541704301802</v>
      </c>
      <c r="I24" s="88">
        <v>82.88372362835284</v>
      </c>
      <c r="J24" s="88">
        <v>79.847989173702871</v>
      </c>
      <c r="K24" s="88">
        <v>85.986729897413156</v>
      </c>
      <c r="L24" s="117">
        <v>118.31174656682923</v>
      </c>
      <c r="M24" s="117">
        <v>101.75855930513524</v>
      </c>
      <c r="N24" s="117">
        <v>118.99190693966509</v>
      </c>
      <c r="O24" s="117">
        <v>114.23757558248863</v>
      </c>
      <c r="P24" s="88">
        <f t="shared" si="0"/>
        <v>84.3352790020203</v>
      </c>
    </row>
    <row r="25" spans="1:16" x14ac:dyDescent="0.25">
      <c r="A25" t="s">
        <v>85</v>
      </c>
      <c r="B25" s="88">
        <v>34.190594451321061</v>
      </c>
      <c r="C25" s="88">
        <v>44.069674558993803</v>
      </c>
      <c r="D25" s="88">
        <v>49.155720458649924</v>
      </c>
      <c r="E25" s="88">
        <v>56.97014305480505</v>
      </c>
      <c r="F25" s="88">
        <v>61.410295863453847</v>
      </c>
      <c r="G25" s="88">
        <v>58.396931552140337</v>
      </c>
      <c r="H25" s="88">
        <v>66.26122185121443</v>
      </c>
      <c r="I25" s="88">
        <v>68.538431951289397</v>
      </c>
      <c r="J25" s="88">
        <v>73.407536875549809</v>
      </c>
      <c r="K25" s="88">
        <v>69.326165838339818</v>
      </c>
      <c r="L25" s="117">
        <v>81.946249971142549</v>
      </c>
      <c r="M25" s="117">
        <v>64.422109799831063</v>
      </c>
      <c r="N25" s="117">
        <v>66.999571363306941</v>
      </c>
      <c r="O25" s="117">
        <v>78.058406646110868</v>
      </c>
      <c r="P25" s="88">
        <f t="shared" si="0"/>
        <v>62.368075302582064</v>
      </c>
    </row>
    <row r="26" spans="1:16" x14ac:dyDescent="0.25">
      <c r="A26" t="s">
        <v>86</v>
      </c>
      <c r="B26" s="88">
        <v>47.800005865564046</v>
      </c>
      <c r="C26" s="88">
        <v>55.727277392965021</v>
      </c>
      <c r="D26" s="88">
        <v>58.187844023698474</v>
      </c>
      <c r="E26" s="88">
        <v>65.232190087730686</v>
      </c>
      <c r="F26" s="88">
        <v>54.77907594976385</v>
      </c>
      <c r="G26" s="88">
        <v>59.484853795308091</v>
      </c>
      <c r="H26" s="88">
        <v>52.330966815775902</v>
      </c>
      <c r="I26" s="88">
        <v>37.776401903993417</v>
      </c>
      <c r="J26" s="88">
        <v>37.02091405023797</v>
      </c>
      <c r="K26" s="88">
        <v>36.246918973952255</v>
      </c>
      <c r="L26" s="117">
        <v>48.386754231997386</v>
      </c>
      <c r="M26" s="117">
        <v>54.3946441197062</v>
      </c>
      <c r="N26" s="117">
        <v>55.625537166138578</v>
      </c>
      <c r="O26" s="117">
        <v>56.320897000115266</v>
      </c>
      <c r="P26" s="88">
        <f t="shared" si="0"/>
        <v>51.379591526924791</v>
      </c>
    </row>
    <row r="27" spans="1:16" x14ac:dyDescent="0.25">
      <c r="A27" t="s">
        <v>87</v>
      </c>
      <c r="B27" s="88">
        <v>30.678880859946265</v>
      </c>
      <c r="C27" s="88">
        <v>56.769182038946035</v>
      </c>
      <c r="D27" s="88">
        <v>42.442490215946776</v>
      </c>
      <c r="E27" s="88">
        <v>48.666790060275268</v>
      </c>
      <c r="F27" s="88">
        <v>53.338248729480405</v>
      </c>
      <c r="G27" s="88">
        <v>57.406625935429517</v>
      </c>
      <c r="H27" s="88">
        <v>63.662621451545867</v>
      </c>
      <c r="I27" s="88">
        <v>73.279260369625121</v>
      </c>
      <c r="J27" s="88">
        <v>55.896251516377625</v>
      </c>
      <c r="K27" s="88">
        <v>46.88668288135289</v>
      </c>
      <c r="L27" s="117">
        <v>60.633241247579136</v>
      </c>
      <c r="M27" s="117">
        <v>43.827570442317658</v>
      </c>
      <c r="N27" s="117">
        <v>26.411000506706095</v>
      </c>
      <c r="O27" s="117">
        <v>64.68158986228039</v>
      </c>
      <c r="P27" s="88">
        <f t="shared" si="0"/>
        <v>51.755745436986352</v>
      </c>
    </row>
    <row r="28" spans="1:16" x14ac:dyDescent="0.25">
      <c r="A28" t="s">
        <v>88</v>
      </c>
      <c r="B28" s="88">
        <v>37.777205549074196</v>
      </c>
      <c r="C28" s="88">
        <v>48.402226634764482</v>
      </c>
      <c r="D28" s="88">
        <v>51.005499128697643</v>
      </c>
      <c r="E28" s="88">
        <v>56.053958330913979</v>
      </c>
      <c r="F28" s="88">
        <v>53.698407055913854</v>
      </c>
      <c r="G28" s="88">
        <v>55.596758929627256</v>
      </c>
      <c r="H28" s="88">
        <v>56.08959717974318</v>
      </c>
      <c r="I28" s="88">
        <v>61.378688834675827</v>
      </c>
      <c r="J28" s="88">
        <v>54.899027764130857</v>
      </c>
      <c r="K28" s="88">
        <v>59.931416128189376</v>
      </c>
      <c r="L28" s="117">
        <v>59.163499601550463</v>
      </c>
      <c r="M28" s="117">
        <v>55.7308665744889</v>
      </c>
      <c r="N28" s="117">
        <v>56.816851841734461</v>
      </c>
      <c r="O28" s="117">
        <v>62.574712053519818</v>
      </c>
      <c r="P28" s="88">
        <f t="shared" si="0"/>
        <v>54.937051114787451</v>
      </c>
    </row>
    <row r="29" spans="1:16" x14ac:dyDescent="0.25">
      <c r="A29" t="s">
        <v>89</v>
      </c>
      <c r="B29" s="88">
        <v>45.774292983624825</v>
      </c>
      <c r="C29" s="88">
        <v>57.751797473972729</v>
      </c>
      <c r="D29" s="88">
        <v>57.172366833964773</v>
      </c>
      <c r="E29" s="88">
        <v>63.698464575741134</v>
      </c>
      <c r="F29" s="88">
        <v>70.594199048586646</v>
      </c>
      <c r="G29" s="88">
        <v>47.604801756024308</v>
      </c>
      <c r="H29" s="88">
        <v>45.77509265348413</v>
      </c>
      <c r="I29" s="88">
        <v>49.467303441614774</v>
      </c>
      <c r="J29" s="88">
        <v>49.394022955270472</v>
      </c>
      <c r="K29" s="88">
        <v>58.199310909591439</v>
      </c>
      <c r="L29" s="117">
        <v>50.952788006484212</v>
      </c>
      <c r="M29" s="117">
        <v>45.453185524152872</v>
      </c>
      <c r="N29" s="117">
        <v>59.904739150945986</v>
      </c>
      <c r="O29" s="117">
        <v>47.9711277424489</v>
      </c>
      <c r="P29" s="88">
        <f t="shared" si="0"/>
        <v>53.550963789707644</v>
      </c>
    </row>
    <row r="30" spans="1:16" x14ac:dyDescent="0.25">
      <c r="A30" t="s">
        <v>90</v>
      </c>
      <c r="B30" s="88">
        <v>39.511111736470241</v>
      </c>
      <c r="C30" s="88">
        <v>55.051416070347869</v>
      </c>
      <c r="D30" s="88">
        <v>57.808269228425644</v>
      </c>
      <c r="E30" s="88">
        <v>75.814314927020774</v>
      </c>
      <c r="F30" s="88">
        <v>61.363663094845705</v>
      </c>
      <c r="G30" s="88">
        <v>57.471800016088615</v>
      </c>
      <c r="H30" s="88">
        <v>61.998340054276376</v>
      </c>
      <c r="I30" s="88">
        <v>65.750795161848686</v>
      </c>
      <c r="J30" s="88">
        <v>66.365051048746039</v>
      </c>
      <c r="K30" s="88">
        <v>69.360984761370091</v>
      </c>
      <c r="L30" s="117">
        <v>65.981554378591582</v>
      </c>
      <c r="M30" s="117">
        <v>69.067949613807755</v>
      </c>
      <c r="N30" s="117">
        <v>72.158346580957357</v>
      </c>
      <c r="O30" s="117">
        <v>85.621225345711579</v>
      </c>
      <c r="P30" s="88">
        <f t="shared" si="0"/>
        <v>64.523201572750594</v>
      </c>
    </row>
    <row r="31" spans="1:16" x14ac:dyDescent="0.25">
      <c r="A31" t="s">
        <v>91</v>
      </c>
      <c r="B31" s="88">
        <v>54.321940617229536</v>
      </c>
      <c r="C31" s="88">
        <v>69.410618124276809</v>
      </c>
      <c r="D31" s="88">
        <v>64.187580102892909</v>
      </c>
      <c r="E31" s="88">
        <v>85.723193453033005</v>
      </c>
      <c r="F31" s="88">
        <v>74.209044156218056</v>
      </c>
      <c r="G31" s="88">
        <v>76.13021417173357</v>
      </c>
      <c r="H31" s="88">
        <v>75.303556681703313</v>
      </c>
      <c r="I31" s="88">
        <v>81.258503020974672</v>
      </c>
      <c r="J31" s="88">
        <v>84.249241945260579</v>
      </c>
      <c r="K31" s="88">
        <v>79.376603542558286</v>
      </c>
      <c r="L31" s="117">
        <v>90.125204994246587</v>
      </c>
      <c r="M31" s="117">
        <v>85.766230456577532</v>
      </c>
      <c r="N31" s="117">
        <v>84.362566264672154</v>
      </c>
      <c r="O31" s="117">
        <v>56.810156434348684</v>
      </c>
      <c r="P31" s="88">
        <f t="shared" si="0"/>
        <v>75.802475283266133</v>
      </c>
    </row>
    <row r="32" spans="1:16" x14ac:dyDescent="0.25">
      <c r="A32" t="s">
        <v>92</v>
      </c>
      <c r="B32" s="88">
        <v>46.583198413757458</v>
      </c>
      <c r="C32" s="88">
        <v>60.260012819433349</v>
      </c>
      <c r="D32" s="88">
        <v>63.961619058184866</v>
      </c>
      <c r="E32" s="88">
        <v>74.262907905333762</v>
      </c>
      <c r="F32" s="88">
        <v>76.005446880093373</v>
      </c>
      <c r="G32" s="88">
        <v>74.855068846863361</v>
      </c>
      <c r="H32" s="88">
        <v>75.377563727069827</v>
      </c>
      <c r="I32" s="88">
        <v>85.20240937789211</v>
      </c>
      <c r="J32" s="88">
        <v>86.697580853162052</v>
      </c>
      <c r="K32" s="88">
        <v>85.559717899719558</v>
      </c>
      <c r="L32" s="117">
        <v>95.840515313031432</v>
      </c>
      <c r="M32" s="117">
        <v>77.527303383399641</v>
      </c>
      <c r="N32" s="117">
        <v>91.891897579064803</v>
      </c>
      <c r="O32" s="117">
        <v>88.664623728274051</v>
      </c>
      <c r="P32" s="88">
        <f t="shared" si="0"/>
        <v>77.334990413234252</v>
      </c>
    </row>
    <row r="33" spans="1:16" x14ac:dyDescent="0.25">
      <c r="A33" t="s">
        <v>93</v>
      </c>
      <c r="B33" s="88">
        <v>39.532374434332191</v>
      </c>
      <c r="C33" s="88">
        <v>48.138499781456424</v>
      </c>
      <c r="D33" s="88">
        <v>53.022407711134775</v>
      </c>
      <c r="E33" s="88">
        <v>60.385872769964671</v>
      </c>
      <c r="F33" s="88">
        <v>60.37969516658756</v>
      </c>
      <c r="G33" s="88">
        <v>62.007463646091445</v>
      </c>
      <c r="H33" s="88">
        <v>63.754033258631168</v>
      </c>
      <c r="I33" s="88">
        <v>69.040280479952102</v>
      </c>
      <c r="J33" s="88">
        <v>67.679237186193959</v>
      </c>
      <c r="K33" s="88">
        <v>68.80243112534356</v>
      </c>
      <c r="L33" s="117">
        <v>76.697050503073683</v>
      </c>
      <c r="M33" s="117">
        <v>82.081593061894324</v>
      </c>
      <c r="N33" s="117">
        <v>76.620334525635229</v>
      </c>
      <c r="O33" s="117">
        <v>88.155320033937699</v>
      </c>
      <c r="P33" s="88">
        <f t="shared" si="0"/>
        <v>65.449756691730627</v>
      </c>
    </row>
    <row r="34" spans="1:16" x14ac:dyDescent="0.25">
      <c r="A34" t="s">
        <v>94</v>
      </c>
      <c r="B34" s="88">
        <v>40.633094402212116</v>
      </c>
      <c r="C34" s="88">
        <v>53.084561803432393</v>
      </c>
      <c r="D34" s="88">
        <v>53.132152698142072</v>
      </c>
      <c r="E34" s="88">
        <v>67.909830368884755</v>
      </c>
      <c r="F34" s="88">
        <v>61.916770150803089</v>
      </c>
      <c r="G34" s="88">
        <v>57.47180266687063</v>
      </c>
      <c r="H34" s="88">
        <v>63.002919566801751</v>
      </c>
      <c r="I34" s="88">
        <v>71.697405637133002</v>
      </c>
      <c r="J34" s="88">
        <v>73.50571054011084</v>
      </c>
      <c r="K34" s="88">
        <v>77.567278246468945</v>
      </c>
      <c r="L34" s="117">
        <v>81.965042546325392</v>
      </c>
      <c r="M34" s="117">
        <v>71.375046937802963</v>
      </c>
      <c r="N34" s="117">
        <v>67.285308629480227</v>
      </c>
      <c r="O34" s="117">
        <v>72.846545073158325</v>
      </c>
      <c r="P34" s="88">
        <f t="shared" si="0"/>
        <v>65.242390661973332</v>
      </c>
    </row>
    <row r="35" spans="1:16" x14ac:dyDescent="0.25">
      <c r="A35" t="s">
        <v>95</v>
      </c>
      <c r="B35" s="88">
        <v>36.212584431116397</v>
      </c>
      <c r="C35" s="88">
        <v>46.905110888649624</v>
      </c>
      <c r="D35" s="88">
        <v>50.458933379425005</v>
      </c>
      <c r="E35" s="88">
        <v>52.458343774803112</v>
      </c>
      <c r="F35" s="88">
        <v>50.212818844713802</v>
      </c>
      <c r="G35" s="88">
        <v>51.525304705993378</v>
      </c>
      <c r="H35" s="88">
        <v>50.369979767578315</v>
      </c>
      <c r="I35" s="88">
        <v>58.464965027514282</v>
      </c>
      <c r="J35" s="88">
        <v>59.522266578478508</v>
      </c>
      <c r="K35" s="88">
        <v>59.253370581080937</v>
      </c>
      <c r="L35" s="117">
        <v>62.871786458490867</v>
      </c>
      <c r="M35" s="117">
        <v>65.518675245366211</v>
      </c>
      <c r="N35" s="117">
        <v>64.943675115850709</v>
      </c>
      <c r="O35" s="117">
        <v>74.036373813674643</v>
      </c>
      <c r="P35" s="88">
        <f t="shared" si="0"/>
        <v>55.911013472338276</v>
      </c>
    </row>
    <row r="36" spans="1:16" x14ac:dyDescent="0.25">
      <c r="A36" t="s">
        <v>96</v>
      </c>
      <c r="B36" s="88">
        <v>44.010677780192381</v>
      </c>
      <c r="C36" s="88">
        <v>53.021564021831779</v>
      </c>
      <c r="D36" s="88">
        <v>57.044737841174992</v>
      </c>
      <c r="E36" s="88">
        <v>62.52692643693188</v>
      </c>
      <c r="F36" s="88">
        <v>58.679983327237068</v>
      </c>
      <c r="G36" s="88">
        <v>64.427195207827438</v>
      </c>
      <c r="H36" s="88">
        <v>68.685263266621192</v>
      </c>
      <c r="I36" s="88">
        <v>73.201618081883183</v>
      </c>
      <c r="J36" s="88">
        <v>67.808504475188073</v>
      </c>
      <c r="K36" s="88">
        <v>75.394021873943245</v>
      </c>
      <c r="L36" s="117">
        <v>86.807057027999051</v>
      </c>
      <c r="M36" s="117">
        <v>80.972817569672458</v>
      </c>
      <c r="N36" s="117">
        <v>81.07732633123841</v>
      </c>
      <c r="O36" s="117">
        <v>79.375418683508457</v>
      </c>
      <c r="P36" s="88">
        <f t="shared" si="0"/>
        <v>68.073793708946397</v>
      </c>
    </row>
    <row r="37" spans="1:16" x14ac:dyDescent="0.25">
      <c r="A37" t="s">
        <v>97</v>
      </c>
      <c r="B37" s="88">
        <v>49.993626916182755</v>
      </c>
      <c r="C37" s="88">
        <v>54.225895158980236</v>
      </c>
      <c r="D37" s="88">
        <v>61.283147381352883</v>
      </c>
      <c r="E37" s="88"/>
      <c r="F37" s="88">
        <v>75.190969310425999</v>
      </c>
      <c r="G37" s="88">
        <v>73.987252246655899</v>
      </c>
      <c r="H37" s="88">
        <v>87.070535411205327</v>
      </c>
      <c r="I37" s="88">
        <v>72.815533980582529</v>
      </c>
      <c r="J37" s="88"/>
      <c r="K37" s="88"/>
      <c r="L37" s="117">
        <v>109.09662460367358</v>
      </c>
      <c r="M37" s="117">
        <v>104.89330522182955</v>
      </c>
      <c r="N37" s="117">
        <v>96.532740042274042</v>
      </c>
      <c r="O37" s="117">
        <v>104.68418581943173</v>
      </c>
      <c r="P37" s="88">
        <f t="shared" si="0"/>
        <v>80.888528735690414</v>
      </c>
    </row>
    <row r="38" spans="1:16" x14ac:dyDescent="0.25">
      <c r="A38" t="s">
        <v>98</v>
      </c>
      <c r="B38" s="88">
        <v>43.201306407645603</v>
      </c>
      <c r="C38" s="88">
        <v>47.560830814997651</v>
      </c>
      <c r="D38" s="88">
        <v>45.093370538154325</v>
      </c>
      <c r="E38" s="88">
        <v>38.989585705964934</v>
      </c>
      <c r="F38" s="88">
        <v>43.038763199933165</v>
      </c>
      <c r="G38" s="88">
        <v>42.196253771797522</v>
      </c>
      <c r="H38" s="88">
        <v>50.563161669457628</v>
      </c>
      <c r="I38" s="88">
        <v>41.332789089462793</v>
      </c>
      <c r="J38" s="88">
        <v>42.812669999042306</v>
      </c>
      <c r="K38" s="88">
        <v>45.410655351498121</v>
      </c>
      <c r="L38" s="117">
        <v>65.791873016081439</v>
      </c>
      <c r="M38" s="117">
        <v>67.234646626384816</v>
      </c>
      <c r="N38" s="117">
        <v>67.523975536281696</v>
      </c>
      <c r="O38" s="117">
        <v>76.626802174107198</v>
      </c>
      <c r="P38" s="88">
        <f t="shared" si="0"/>
        <v>51.241191707200649</v>
      </c>
    </row>
    <row r="39" spans="1:16" x14ac:dyDescent="0.25">
      <c r="A39" t="s">
        <v>99</v>
      </c>
      <c r="B39" s="88">
        <v>44.770296409344013</v>
      </c>
      <c r="C39" s="88">
        <v>48.328154521750292</v>
      </c>
      <c r="D39" s="88">
        <v>48.934261501440623</v>
      </c>
      <c r="E39" s="88">
        <v>51.651306345881146</v>
      </c>
      <c r="F39" s="88">
        <v>57.356080150427061</v>
      </c>
      <c r="G39" s="88">
        <v>57.462215911323263</v>
      </c>
      <c r="H39" s="88">
        <v>60.873021753940272</v>
      </c>
      <c r="I39" s="88">
        <v>71.241072321365266</v>
      </c>
      <c r="J39" s="88">
        <v>68.38780796995043</v>
      </c>
      <c r="K39" s="88">
        <v>73.266251274109621</v>
      </c>
      <c r="L39" s="117">
        <v>80.715369148383616</v>
      </c>
      <c r="M39" s="117">
        <v>69.172170499468848</v>
      </c>
      <c r="N39" s="117">
        <v>69.963915793973612</v>
      </c>
      <c r="O39" s="117">
        <v>57.398088263364492</v>
      </c>
      <c r="P39" s="88">
        <f t="shared" si="0"/>
        <v>61.394286561765895</v>
      </c>
    </row>
    <row r="40" spans="1:16" x14ac:dyDescent="0.25">
      <c r="A40" t="s">
        <v>100</v>
      </c>
      <c r="B40" s="88">
        <v>43.875707996056285</v>
      </c>
      <c r="C40" s="88">
        <v>55.099549771466215</v>
      </c>
      <c r="D40" s="88">
        <v>60.074251985647258</v>
      </c>
      <c r="E40" s="88">
        <v>72.316282792354883</v>
      </c>
      <c r="F40" s="88">
        <v>68.779287940999595</v>
      </c>
      <c r="G40" s="88">
        <v>68.089923274254488</v>
      </c>
      <c r="H40" s="88">
        <v>77.379585128934252</v>
      </c>
      <c r="I40" s="88">
        <v>82.321085464468226</v>
      </c>
      <c r="J40" s="88">
        <v>81.821600929343063</v>
      </c>
      <c r="K40" s="88">
        <v>88.549815876264645</v>
      </c>
      <c r="L40" s="117">
        <v>77.762583626816863</v>
      </c>
      <c r="M40" s="117">
        <v>74.420207149969883</v>
      </c>
      <c r="N40" s="117">
        <v>77.520686448371691</v>
      </c>
      <c r="O40" s="117">
        <v>83.209622657193279</v>
      </c>
      <c r="P40" s="88">
        <f t="shared" si="0"/>
        <v>72.230013645867189</v>
      </c>
    </row>
    <row r="41" spans="1:16" x14ac:dyDescent="0.25">
      <c r="A41" t="s">
        <v>101</v>
      </c>
      <c r="B41" s="88">
        <v>56.286171568763208</v>
      </c>
      <c r="C41" s="88">
        <v>71.262968003321916</v>
      </c>
      <c r="D41" s="88">
        <v>67.824644490031062</v>
      </c>
      <c r="E41" s="88">
        <v>79.915292017547031</v>
      </c>
      <c r="F41" s="88">
        <v>66.99180705010842</v>
      </c>
      <c r="G41" s="88">
        <v>65.006932817488845</v>
      </c>
      <c r="H41" s="88">
        <v>73.432801311892817</v>
      </c>
      <c r="I41" s="88">
        <v>81.772388167667089</v>
      </c>
      <c r="J41" s="88">
        <v>82.143221231352712</v>
      </c>
      <c r="K41" s="88">
        <v>84.749150139385819</v>
      </c>
      <c r="L41" s="117">
        <v>98.529179026438328</v>
      </c>
      <c r="M41" s="117">
        <v>95.593933911749019</v>
      </c>
      <c r="N41" s="117">
        <v>87.287277669310782</v>
      </c>
      <c r="O41" s="117">
        <v>93.27572697903102</v>
      </c>
      <c r="P41" s="88">
        <f t="shared" si="0"/>
        <v>78.862249598863443</v>
      </c>
    </row>
    <row r="42" spans="1:16" x14ac:dyDescent="0.25">
      <c r="A42" t="s">
        <v>102</v>
      </c>
      <c r="B42" s="88">
        <v>42.343379305096477</v>
      </c>
      <c r="C42" s="88">
        <v>56.679992049488888</v>
      </c>
      <c r="D42" s="88">
        <v>69.872532431195395</v>
      </c>
      <c r="E42" s="88">
        <v>76.966485939536852</v>
      </c>
      <c r="F42" s="88">
        <v>70.005928997164133</v>
      </c>
      <c r="G42" s="88">
        <v>59.324330541715682</v>
      </c>
      <c r="H42" s="88">
        <v>68.217344814708824</v>
      </c>
      <c r="I42" s="88">
        <v>71.62061245212216</v>
      </c>
      <c r="J42" s="88">
        <v>69.43883482067163</v>
      </c>
      <c r="K42" s="88">
        <v>56.354890642109822</v>
      </c>
      <c r="L42" s="117">
        <v>65.271520223768775</v>
      </c>
      <c r="M42" s="117">
        <v>84.260564002639242</v>
      </c>
      <c r="N42" s="117">
        <v>73.253830177944366</v>
      </c>
      <c r="O42" s="117">
        <v>12.010602239876771</v>
      </c>
      <c r="P42" s="88">
        <f t="shared" si="0"/>
        <v>62.544346331288516</v>
      </c>
    </row>
    <row r="43" spans="1:16" x14ac:dyDescent="0.25">
      <c r="A43" t="s">
        <v>103</v>
      </c>
      <c r="B43" s="88">
        <v>51.014916746107993</v>
      </c>
      <c r="C43" s="88">
        <v>58.354495064774355</v>
      </c>
      <c r="D43" s="88">
        <v>63.946102907667111</v>
      </c>
      <c r="E43" s="88">
        <v>72.829625638941977</v>
      </c>
      <c r="F43" s="88">
        <v>68.471850277643739</v>
      </c>
      <c r="G43" s="88">
        <v>75.623775695495098</v>
      </c>
      <c r="H43" s="88">
        <v>78.438918459121624</v>
      </c>
      <c r="I43" s="88">
        <v>85.735971016592984</v>
      </c>
      <c r="J43" s="88">
        <v>82.900207017936125</v>
      </c>
      <c r="K43" s="88">
        <v>80.539241281908474</v>
      </c>
      <c r="L43" s="117">
        <v>75.866791853950133</v>
      </c>
      <c r="M43" s="117">
        <v>80.225254521818101</v>
      </c>
      <c r="N43" s="117">
        <v>79.181807419722674</v>
      </c>
      <c r="O43" s="117">
        <v>83.181086985959197</v>
      </c>
      <c r="P43" s="88">
        <f t="shared" si="0"/>
        <v>74.022146063402843</v>
      </c>
    </row>
    <row r="44" spans="1:16" x14ac:dyDescent="0.25">
      <c r="A44" t="s">
        <v>104</v>
      </c>
      <c r="B44" s="88">
        <v>51.879011505911997</v>
      </c>
      <c r="C44" s="88">
        <v>55.493625893182546</v>
      </c>
      <c r="D44" s="88">
        <v>59.50617673738784</v>
      </c>
      <c r="E44" s="88">
        <v>66.512272076924489</v>
      </c>
      <c r="F44" s="88">
        <v>66.646729847694772</v>
      </c>
      <c r="G44" s="88">
        <v>69.479200147541818</v>
      </c>
      <c r="H44" s="88">
        <v>75.366837677543529</v>
      </c>
      <c r="I44" s="88">
        <v>77.36375000000001</v>
      </c>
      <c r="J44" s="88">
        <v>74.733632810296044</v>
      </c>
      <c r="K44" s="88">
        <v>76.86181818181818</v>
      </c>
      <c r="L44" s="117">
        <v>90.62579043074453</v>
      </c>
      <c r="M44" s="117">
        <v>80.702814955567035</v>
      </c>
      <c r="N44" s="117">
        <v>82.794635007041137</v>
      </c>
      <c r="O44" s="117">
        <v>85.948886584854861</v>
      </c>
      <c r="P44" s="88">
        <f t="shared" si="0"/>
        <v>72.422512989750629</v>
      </c>
    </row>
    <row r="45" spans="1:16" x14ac:dyDescent="0.25">
      <c r="A45" t="s">
        <v>105</v>
      </c>
      <c r="B45" s="88">
        <v>47.345908473162183</v>
      </c>
      <c r="C45" s="88">
        <v>61.772989973114491</v>
      </c>
      <c r="D45" s="88">
        <v>61.782970635885775</v>
      </c>
      <c r="E45" s="88">
        <v>76.01494726861705</v>
      </c>
      <c r="F45" s="88">
        <v>79.219176156013788</v>
      </c>
      <c r="G45" s="88">
        <v>67.583368891083069</v>
      </c>
      <c r="H45" s="88">
        <v>65.44229377567622</v>
      </c>
      <c r="I45" s="88">
        <v>83.846458643732959</v>
      </c>
      <c r="J45" s="88">
        <v>69.028412729458594</v>
      </c>
      <c r="K45" s="88">
        <v>85.042953944505498</v>
      </c>
      <c r="L45" s="117">
        <v>92.952545378532321</v>
      </c>
      <c r="M45" s="117">
        <v>75.134597303684373</v>
      </c>
      <c r="N45" s="117">
        <v>99.223337567244855</v>
      </c>
      <c r="O45" s="117">
        <v>114.9531792206342</v>
      </c>
      <c r="P45" s="88">
        <f t="shared" si="0"/>
        <v>77.095938568667535</v>
      </c>
    </row>
    <row r="46" spans="1:16" x14ac:dyDescent="0.25">
      <c r="A46" t="s">
        <v>106</v>
      </c>
      <c r="B46" s="88">
        <v>17.412704338221808</v>
      </c>
      <c r="C46" s="88">
        <v>21.267522340211464</v>
      </c>
      <c r="D46" s="88">
        <v>21.080309707135132</v>
      </c>
      <c r="E46" s="88">
        <v>41.361866415959703</v>
      </c>
      <c r="F46" s="88">
        <v>42.850498368370836</v>
      </c>
      <c r="G46" s="88">
        <v>48.134685926310098</v>
      </c>
      <c r="H46" s="88">
        <v>49.103423820111026</v>
      </c>
      <c r="I46" s="88">
        <v>55.77257668975308</v>
      </c>
      <c r="J46" s="88">
        <v>55.85308351605935</v>
      </c>
      <c r="K46" s="88">
        <v>58.602792730419921</v>
      </c>
      <c r="L46" s="117">
        <v>62.923820114269503</v>
      </c>
      <c r="M46" s="117">
        <v>61.702951543705623</v>
      </c>
      <c r="N46" s="117">
        <v>73.616338986207495</v>
      </c>
      <c r="O46" s="117">
        <v>80.572842754075424</v>
      </c>
      <c r="P46" s="88">
        <f t="shared" si="0"/>
        <v>49.303958375057888</v>
      </c>
    </row>
    <row r="47" spans="1:16" x14ac:dyDescent="0.25">
      <c r="A47" t="s">
        <v>107</v>
      </c>
      <c r="B47" s="88">
        <v>49.952229417083238</v>
      </c>
      <c r="C47" s="88">
        <v>64.033355347625431</v>
      </c>
      <c r="D47" s="88">
        <v>70.663598461117374</v>
      </c>
      <c r="E47" s="88">
        <v>76.384410064811505</v>
      </c>
      <c r="F47" s="88">
        <v>78.038418807561484</v>
      </c>
      <c r="G47" s="88">
        <v>80.756305572691048</v>
      </c>
      <c r="H47" s="88">
        <v>90.084691472723463</v>
      </c>
      <c r="I47" s="88">
        <v>89.900678496619733</v>
      </c>
      <c r="J47" s="88">
        <v>96.21796499030701</v>
      </c>
      <c r="K47" s="88">
        <v>97.952529974330233</v>
      </c>
      <c r="L47" s="117">
        <v>104.00736254551178</v>
      </c>
      <c r="M47" s="117">
        <v>92.79591785500314</v>
      </c>
      <c r="N47" s="117">
        <v>92.404669315865405</v>
      </c>
      <c r="O47" s="117">
        <v>85.703719319499115</v>
      </c>
      <c r="P47" s="88">
        <f t="shared" si="0"/>
        <v>83.492560831482152</v>
      </c>
    </row>
    <row r="48" spans="1:16" x14ac:dyDescent="0.25">
      <c r="A48" t="s">
        <v>108</v>
      </c>
      <c r="B48" s="88">
        <v>23.809798757809599</v>
      </c>
      <c r="C48" s="88">
        <v>28.653257058435464</v>
      </c>
      <c r="D48" s="88">
        <v>30.622616389632253</v>
      </c>
      <c r="E48" s="88">
        <v>29.727871163137902</v>
      </c>
      <c r="F48" s="88">
        <v>31.496598662977892</v>
      </c>
      <c r="G48" s="88">
        <v>30.434794681219785</v>
      </c>
      <c r="H48" s="88">
        <v>30.585685595469403</v>
      </c>
      <c r="I48" s="88">
        <v>36.941310618013517</v>
      </c>
      <c r="J48" s="88">
        <v>34.719355913289959</v>
      </c>
      <c r="K48" s="88">
        <v>41.43973154077301</v>
      </c>
      <c r="L48" s="117">
        <v>39.040371713819901</v>
      </c>
      <c r="M48" s="117">
        <v>39.104122045521258</v>
      </c>
      <c r="N48" s="117">
        <v>42.604173650015433</v>
      </c>
      <c r="O48" s="117">
        <v>40.758363144625186</v>
      </c>
      <c r="P48" s="88">
        <f t="shared" si="0"/>
        <v>34.281289352481473</v>
      </c>
    </row>
    <row r="49" spans="1:16" x14ac:dyDescent="0.25">
      <c r="A49" s="18" t="s">
        <v>61</v>
      </c>
      <c r="B49" s="88">
        <v>45.778483489725552</v>
      </c>
      <c r="C49" s="88">
        <v>57.477409626076188</v>
      </c>
      <c r="D49" s="88">
        <v>58.83477456323579</v>
      </c>
      <c r="E49" s="88">
        <v>67.098724951405131</v>
      </c>
      <c r="F49" s="88">
        <v>62.209525102475908</v>
      </c>
      <c r="G49" s="88">
        <v>63.738340907748672</v>
      </c>
      <c r="H49" s="88">
        <v>66.393223171674407</v>
      </c>
      <c r="I49" s="88">
        <v>69.642489193522678</v>
      </c>
      <c r="J49" s="88">
        <v>68.933613695663126</v>
      </c>
      <c r="K49" s="88">
        <v>73.049394918337569</v>
      </c>
      <c r="L49" s="88"/>
      <c r="M49" s="88"/>
      <c r="N49" s="88"/>
      <c r="O49" s="88"/>
      <c r="P49" s="88">
        <f>AVERAGE(P2:P48)</f>
        <v>66.490008292408817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49A180E143874CA9FF6D7C8F57DDA4" ma:contentTypeVersion="13" ma:contentTypeDescription="Crear nuevo documento." ma:contentTypeScope="" ma:versionID="9c6f4d852b1631688130b2c59f3b7238">
  <xsd:schema xmlns:xsd="http://www.w3.org/2001/XMLSchema" xmlns:xs="http://www.w3.org/2001/XMLSchema" xmlns:p="http://schemas.microsoft.com/office/2006/metadata/properties" xmlns:ns3="a4c4669b-4f9f-485c-850c-791dd9793f2d" xmlns:ns4="764986f3-fe11-4ae2-9eca-136fd5a9571b" targetNamespace="http://schemas.microsoft.com/office/2006/metadata/properties" ma:root="true" ma:fieldsID="430a0f911d1cd82a6c91ee5d52c1e0dd" ns3:_="" ns4:_="">
    <xsd:import namespace="a4c4669b-4f9f-485c-850c-791dd9793f2d"/>
    <xsd:import namespace="764986f3-fe11-4ae2-9eca-136fd5a957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4669b-4f9f-485c-850c-791dd9793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4986f3-fe11-4ae2-9eca-136fd5a9571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AC7D21-9F07-4269-9E13-91622675B0BE}">
  <ds:schemaRefs>
    <ds:schemaRef ds:uri="http://schemas.microsoft.com/office/2006/documentManagement/types"/>
    <ds:schemaRef ds:uri="http://purl.org/dc/dcmitype/"/>
    <ds:schemaRef ds:uri="a4c4669b-4f9f-485c-850c-791dd9793f2d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764986f3-fe11-4ae2-9eca-136fd5a9571b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8BAF012-34E8-442F-84B0-0423E631EF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DE64AC-67FC-4119-8AD5-08838B39A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c4669b-4f9f-485c-850c-791dd9793f2d"/>
    <ds:schemaRef ds:uri="764986f3-fe11-4ae2-9eca-136fd5a957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Material Cost Impact</vt:lpstr>
      <vt:lpstr>MIT Compition Impact (2)</vt:lpstr>
      <vt:lpstr>Material Mass Impact By State</vt:lpstr>
      <vt:lpstr>Material Mass Impact Manual</vt:lpstr>
      <vt:lpstr>Market Share</vt:lpstr>
      <vt:lpstr>Avg PCC unit cost</vt:lpstr>
      <vt:lpstr>Avg AC unit cost</vt:lpstr>
      <vt:lpstr>STATES</vt:lpstr>
    </vt:vector>
  </TitlesOfParts>
  <Company>CEMEX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 Mack</dc:creator>
  <cp:lastModifiedBy>Andrew Laurent</cp:lastModifiedBy>
  <dcterms:created xsi:type="dcterms:W3CDTF">2015-07-22T15:41:43Z</dcterms:created>
  <dcterms:modified xsi:type="dcterms:W3CDTF">2024-07-31T17:55:45Z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0x010100CF49A180E143874CA9FF6D7C8F57DDA4</vt:lpwstr>
  </property>
</Properties>
</file>